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updateLinks="never" codeName="ThisWorkbook" defaultThemeVersion="124226"/>
  <mc:AlternateContent xmlns:mc="http://schemas.openxmlformats.org/markup-compatibility/2006">
    <mc:Choice Requires="x15">
      <x15ac:absPath xmlns:x15ac="http://schemas.microsoft.com/office/spreadsheetml/2010/11/ac" url="M:\"/>
    </mc:Choice>
  </mc:AlternateContent>
  <xr:revisionPtr revIDLastSave="0" documentId="8_{8D3F8E7B-9B2A-400E-B3FE-89577CB5F626}" xr6:coauthVersionLast="47" xr6:coauthVersionMax="47" xr10:uidLastSave="{00000000-0000-0000-0000-000000000000}"/>
  <bookViews>
    <workbookView xWindow="-38520" yWindow="-120" windowWidth="38640" windowHeight="21240" tabRatio="884" activeTab="2" xr2:uid="{00000000-000D-0000-FFFF-FFFF00000000}"/>
  </bookViews>
  <sheets>
    <sheet name="Registrering" sheetId="43" r:id="rId1"/>
    <sheet name="Finansiering" sheetId="41" state="hidden" r:id="rId2"/>
    <sheet name="Budsjett" sheetId="30" r:id="rId3"/>
    <sheet name="Detailed budget" sheetId="63" state="hidden" r:id="rId4"/>
    <sheet name="Leiested" sheetId="52" r:id="rId5"/>
    <sheet name="Intern oversikt" sheetId="40" r:id="rId6"/>
    <sheet name="NFR-budsjett" sheetId="46" state="hidden" r:id="rId7"/>
    <sheet name="Intern oversikt andel" sheetId="48" state="hidden" r:id="rId8"/>
    <sheet name="Budget for the proposal RIA &amp;IA" sheetId="61" r:id="rId9"/>
    <sheet name="Budget for the proposal" sheetId="54" state="hidden" r:id="rId10"/>
    <sheet name="Budget for the proposal ERC" sheetId="60" r:id="rId11"/>
    <sheet name="Budget for the contract" sheetId="50" r:id="rId12"/>
    <sheet name="D. Other cost categories (prop)" sheetId="62" r:id="rId13"/>
    <sheet name="Budsjett_ERC for the proporsal" sheetId="53" state="hidden" r:id="rId14"/>
    <sheet name="Tabeller" sheetId="32" state="hidden" r:id="rId15"/>
    <sheet name="Sheet3" sheetId="64" r:id="rId16"/>
    <sheet name="Sheet2" sheetId="56" state="hidden" r:id="rId17"/>
    <sheet name="Sheet1" sheetId="57" state="hidden" r:id="rId18"/>
    <sheet name="Endringslogg" sheetId="59" state="hidden" r:id="rId19"/>
  </sheets>
  <externalReferences>
    <externalReference r:id="rId20"/>
  </externalReferences>
  <definedNames>
    <definedName name="Europeisk_entralbank">'Budget for the contract'!$D$3</definedName>
    <definedName name="Europeisk_Sentralbank">'Budget for the contract'!$D$3</definedName>
    <definedName name="_xlnm.Print_Area" localSheetId="11">'Budget for the contract'!$A$1:$G$36</definedName>
    <definedName name="_xlnm.Print_Area" localSheetId="2">Budsjett!$A$1:$M$59</definedName>
    <definedName name="_xlnm.Print_Area" localSheetId="13">'Budsjett_ERC for the proporsal'!$A$3:$J$42</definedName>
    <definedName name="_xlnm.Print_Area" localSheetId="5">'Intern oversikt'!$B$1:$M$36</definedName>
    <definedName name="_xlnm.Print_Area" localSheetId="7">'Intern oversikt andel'!$B$1:$M$29</definedName>
    <definedName name="_xlnm.Print_Area" localSheetId="4">Leiested!$A$1:$P$63</definedName>
    <definedName name="_xlnm.Print_Area" localSheetId="0">Registrering!$A$3:$E$34</definedName>
    <definedName name="valutakalkulator">Registrering!$K$21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M32" i="30" l="1"/>
  <c r="AN32" i="30"/>
  <c r="AO32" i="30"/>
  <c r="AM33" i="30"/>
  <c r="AN33" i="30"/>
  <c r="AO33" i="30"/>
  <c r="AO31" i="30"/>
  <c r="AN31" i="30"/>
  <c r="AM31" i="30"/>
  <c r="AM24" i="30"/>
  <c r="AN24" i="30"/>
  <c r="AO24" i="30"/>
  <c r="AM25" i="30"/>
  <c r="AN25" i="30"/>
  <c r="AO25" i="30"/>
  <c r="AM26" i="30"/>
  <c r="AN26" i="30"/>
  <c r="AO26" i="30"/>
  <c r="AM27" i="30"/>
  <c r="AN27" i="30"/>
  <c r="AO27" i="30"/>
  <c r="AO23" i="30"/>
  <c r="AN23" i="30"/>
  <c r="AM23" i="30"/>
  <c r="AM16" i="30"/>
  <c r="AN16" i="30"/>
  <c r="AO16" i="30"/>
  <c r="AM17" i="30"/>
  <c r="AN17" i="30"/>
  <c r="AO17" i="30"/>
  <c r="AM18" i="30"/>
  <c r="AN18" i="30"/>
  <c r="AO18" i="30"/>
  <c r="AM19" i="30"/>
  <c r="AN19" i="30"/>
  <c r="AO19" i="30"/>
  <c r="AO15" i="30"/>
  <c r="AN15" i="30"/>
  <c r="AM15" i="30"/>
  <c r="AM5" i="30"/>
  <c r="AN5" i="30"/>
  <c r="AO5" i="30"/>
  <c r="AM6" i="30"/>
  <c r="AN6" i="30"/>
  <c r="AO6" i="30"/>
  <c r="AM7" i="30"/>
  <c r="AN7" i="30"/>
  <c r="AO7" i="30"/>
  <c r="AM8" i="30"/>
  <c r="AN8" i="30"/>
  <c r="AO8" i="30"/>
  <c r="AM9" i="30"/>
  <c r="AN9" i="30"/>
  <c r="AO9" i="30"/>
  <c r="AM10" i="30"/>
  <c r="AN10" i="30"/>
  <c r="AO10" i="30"/>
  <c r="AM11" i="30"/>
  <c r="AN11" i="30"/>
  <c r="AO11" i="30"/>
  <c r="I23" i="43" l="1"/>
  <c r="K43" i="61"/>
  <c r="M43" i="61"/>
  <c r="N43" i="61"/>
  <c r="O43" i="61"/>
  <c r="P43" i="61"/>
  <c r="Q43" i="61"/>
  <c r="Z4" i="30"/>
  <c r="N38" i="32" l="1"/>
  <c r="N39" i="32" s="1"/>
  <c r="J34" i="32" l="1"/>
  <c r="K34" i="32" s="1"/>
  <c r="L34" i="32" s="1"/>
  <c r="I34" i="32"/>
  <c r="B5" i="30"/>
  <c r="B6" i="30"/>
  <c r="B7" i="30"/>
  <c r="B8" i="30"/>
  <c r="B9" i="30"/>
  <c r="B10" i="30"/>
  <c r="B11" i="30"/>
  <c r="D24" i="32"/>
  <c r="D25" i="32"/>
  <c r="D26" i="32"/>
  <c r="D27" i="32"/>
  <c r="D28" i="32"/>
  <c r="D29" i="32"/>
  <c r="D30" i="32"/>
  <c r="D31" i="32"/>
  <c r="D32" i="32"/>
  <c r="D33" i="32"/>
  <c r="D34" i="32"/>
  <c r="D35" i="32"/>
  <c r="D36" i="32"/>
  <c r="D37" i="32"/>
  <c r="D38" i="32"/>
  <c r="D39" i="32"/>
  <c r="D40" i="32"/>
  <c r="D41" i="32"/>
  <c r="D42" i="32"/>
  <c r="D43" i="32"/>
  <c r="D44" i="32"/>
  <c r="D45" i="32"/>
  <c r="D46" i="32"/>
  <c r="D47" i="32"/>
  <c r="D48" i="32"/>
  <c r="D49" i="32"/>
  <c r="D50" i="32"/>
  <c r="D51" i="32"/>
  <c r="D52" i="32"/>
  <c r="D53" i="32"/>
  <c r="D54" i="32"/>
  <c r="D55" i="32"/>
  <c r="D56" i="32"/>
  <c r="D57" i="32"/>
  <c r="D58" i="32"/>
  <c r="D59" i="32"/>
  <c r="D60" i="32"/>
  <c r="D61" i="32"/>
  <c r="D62" i="32"/>
  <c r="D63" i="32"/>
  <c r="D64" i="32"/>
  <c r="D65" i="32"/>
  <c r="D66" i="32"/>
  <c r="D67" i="32"/>
  <c r="D68" i="32"/>
  <c r="D69" i="32"/>
  <c r="D70" i="32"/>
  <c r="D71" i="32"/>
  <c r="D72" i="32"/>
  <c r="D73" i="32"/>
  <c r="D74" i="32"/>
  <c r="D75" i="32"/>
  <c r="D76" i="32"/>
  <c r="D77" i="32"/>
  <c r="D78" i="32"/>
  <c r="D79" i="32"/>
  <c r="D80" i="32"/>
  <c r="D81" i="32"/>
  <c r="D82" i="32"/>
  <c r="D83" i="32"/>
  <c r="D84" i="32"/>
  <c r="D85" i="32"/>
  <c r="D86" i="32"/>
  <c r="D87" i="32"/>
  <c r="D88" i="32"/>
  <c r="D89" i="32"/>
  <c r="D90" i="32"/>
  <c r="D91" i="32"/>
  <c r="D92" i="32"/>
  <c r="D93" i="32"/>
  <c r="D94" i="32"/>
  <c r="D95" i="32"/>
  <c r="D96" i="32"/>
  <c r="D97" i="32"/>
  <c r="D98" i="32"/>
  <c r="D99" i="32"/>
  <c r="D100" i="32"/>
  <c r="D101" i="32"/>
  <c r="D102" i="32"/>
  <c r="D103" i="32"/>
  <c r="D104" i="32"/>
  <c r="D105" i="32"/>
  <c r="D23" i="32"/>
  <c r="J33" i="32" l="1"/>
  <c r="L37" i="32" s="1"/>
  <c r="I33" i="32"/>
  <c r="AB8" i="30"/>
  <c r="AF8" i="30" s="1"/>
  <c r="AB7" i="30"/>
  <c r="AF7" i="30" s="1"/>
  <c r="Z5" i="30"/>
  <c r="AA5" i="30" s="1"/>
  <c r="Z6" i="30"/>
  <c r="AA6" i="30" s="1"/>
  <c r="AB6" i="30" s="1"/>
  <c r="AF6" i="30" s="1"/>
  <c r="Z7" i="30"/>
  <c r="AA7" i="30" s="1"/>
  <c r="Z8" i="30"/>
  <c r="AA8" i="30" s="1"/>
  <c r="Z9" i="30"/>
  <c r="AA9" i="30" s="1"/>
  <c r="Z10" i="30"/>
  <c r="AA10" i="30" s="1"/>
  <c r="AB10" i="30" s="1"/>
  <c r="Z11" i="30"/>
  <c r="AA11" i="30" s="1"/>
  <c r="Z15" i="30"/>
  <c r="AA15" i="30" s="1"/>
  <c r="AB15" i="30" s="1"/>
  <c r="AF15" i="30" s="1"/>
  <c r="Z16" i="30"/>
  <c r="AA16" i="30" s="1"/>
  <c r="Z17" i="30"/>
  <c r="AA17" i="30" s="1"/>
  <c r="Z18" i="30"/>
  <c r="AA18" i="30" s="1"/>
  <c r="AB18" i="30" s="1"/>
  <c r="Z19" i="30"/>
  <c r="AA19" i="30" s="1"/>
  <c r="Z23" i="30"/>
  <c r="AA23" i="30" s="1"/>
  <c r="AB23" i="30" s="1"/>
  <c r="AF23" i="30" s="1"/>
  <c r="Z24" i="30"/>
  <c r="AA24" i="30" s="1"/>
  <c r="AB24" i="30" s="1"/>
  <c r="AF24" i="30" s="1"/>
  <c r="Z25" i="30"/>
  <c r="AA25" i="30" s="1"/>
  <c r="Z26" i="30"/>
  <c r="AA26" i="30" s="1"/>
  <c r="AB26" i="30" s="1"/>
  <c r="Z27" i="30"/>
  <c r="AA27" i="30" s="1"/>
  <c r="Z31" i="30"/>
  <c r="AA31" i="30" s="1"/>
  <c r="AB31" i="30" s="1"/>
  <c r="AF31" i="30" s="1"/>
  <c r="Z32" i="30"/>
  <c r="AA32" i="30" s="1"/>
  <c r="Z33" i="30"/>
  <c r="AA33" i="30" s="1"/>
  <c r="AB33" i="30" s="1"/>
  <c r="AF33" i="30" s="1"/>
  <c r="K8" i="32" l="1"/>
  <c r="K9" i="32"/>
  <c r="K37" i="32"/>
  <c r="AA4" i="30"/>
  <c r="AB4" i="30" s="1"/>
  <c r="AF4" i="30" s="1"/>
  <c r="K10" i="32"/>
  <c r="K11" i="32"/>
  <c r="AF10" i="30"/>
  <c r="AC10" i="30"/>
  <c r="AD10" i="30" s="1"/>
  <c r="AC8" i="30"/>
  <c r="AC26" i="30"/>
  <c r="AD26" i="30" s="1"/>
  <c r="AF26" i="30"/>
  <c r="AC18" i="30"/>
  <c r="AF18" i="30"/>
  <c r="AC31" i="30"/>
  <c r="AC15" i="30"/>
  <c r="AB25" i="30"/>
  <c r="AF25" i="30" s="1"/>
  <c r="AC33" i="30"/>
  <c r="AC7" i="30"/>
  <c r="AB17" i="30"/>
  <c r="AF17" i="30" s="1"/>
  <c r="AB9" i="30"/>
  <c r="AF9" i="30" s="1"/>
  <c r="AB27" i="30"/>
  <c r="AF27" i="30" s="1"/>
  <c r="AB32" i="30"/>
  <c r="AF32" i="30" s="1"/>
  <c r="AC6" i="30"/>
  <c r="AB16" i="30"/>
  <c r="AF16" i="30" s="1"/>
  <c r="AC24" i="30"/>
  <c r="AB5" i="30"/>
  <c r="AF5" i="30" s="1"/>
  <c r="AB19" i="30"/>
  <c r="AF19" i="30" s="1"/>
  <c r="AB11" i="30"/>
  <c r="AF11" i="30" s="1"/>
  <c r="AC23" i="30"/>
  <c r="AC4" i="30" l="1"/>
  <c r="AD4" i="30" s="1"/>
  <c r="AE4" i="30" s="1"/>
  <c r="AG4" i="30" s="1"/>
  <c r="AC25" i="30"/>
  <c r="AD25" i="30" s="1"/>
  <c r="AE25" i="30" s="1"/>
  <c r="AE26" i="30"/>
  <c r="AG26" i="30" s="1"/>
  <c r="AC19" i="30"/>
  <c r="AD19" i="30" s="1"/>
  <c r="AC5" i="30"/>
  <c r="AD5" i="30" s="1"/>
  <c r="AE10" i="30"/>
  <c r="AG10" i="30" s="1"/>
  <c r="AC9" i="30"/>
  <c r="AD9" i="30" s="1"/>
  <c r="AC11" i="30"/>
  <c r="AD11" i="30" s="1"/>
  <c r="AD8" i="30"/>
  <c r="AE8" i="30" s="1"/>
  <c r="AD6" i="30"/>
  <c r="AE6" i="30" s="1"/>
  <c r="AG6" i="30" s="1"/>
  <c r="AD23" i="30"/>
  <c r="AE23" i="30" s="1"/>
  <c r="AG23" i="30" s="1"/>
  <c r="AD33" i="30"/>
  <c r="AD18" i="30"/>
  <c r="AE18" i="30" s="1"/>
  <c r="AC32" i="30"/>
  <c r="AD7" i="30"/>
  <c r="AE7" i="30" s="1"/>
  <c r="AG7" i="30" s="1"/>
  <c r="AC27" i="30"/>
  <c r="AC16" i="30"/>
  <c r="AD15" i="30"/>
  <c r="AD31" i="30"/>
  <c r="AE31" i="30" s="1"/>
  <c r="AG31" i="30" s="1"/>
  <c r="AI31" i="30" s="1"/>
  <c r="AC17" i="30"/>
  <c r="AD24" i="30"/>
  <c r="AE24" i="30" s="1"/>
  <c r="AG24" i="30" s="1"/>
  <c r="AO4" i="30" l="1"/>
  <c r="AN4" i="30"/>
  <c r="AM4" i="30"/>
  <c r="AL23" i="30"/>
  <c r="AE19" i="30"/>
  <c r="AG19" i="30" s="1"/>
  <c r="AE5" i="30"/>
  <c r="AG5" i="30" s="1"/>
  <c r="AE9" i="30"/>
  <c r="AG9" i="30" s="1"/>
  <c r="AL31" i="30"/>
  <c r="AE11" i="30"/>
  <c r="AG11" i="30" s="1"/>
  <c r="AG8" i="30"/>
  <c r="AE33" i="30"/>
  <c r="AG33" i="30" s="1"/>
  <c r="AI33" i="30" s="1"/>
  <c r="AG25" i="30"/>
  <c r="AE15" i="30"/>
  <c r="AG15" i="30" s="1"/>
  <c r="AG18" i="30"/>
  <c r="AD16" i="30"/>
  <c r="AE16" i="30" s="1"/>
  <c r="AG16" i="30" s="1"/>
  <c r="AD27" i="30"/>
  <c r="AD17" i="30"/>
  <c r="AE17" i="30" s="1"/>
  <c r="AG17" i="30" s="1"/>
  <c r="AD32" i="30"/>
  <c r="AE32" i="30" s="1"/>
  <c r="AG32" i="30" s="1"/>
  <c r="AI32" i="30" s="1"/>
  <c r="AL33" i="30" l="1"/>
  <c r="AL32" i="30"/>
  <c r="AE27" i="30"/>
  <c r="AG27" i="30" s="1"/>
  <c r="B4" i="30" l="1"/>
  <c r="R17" i="53" l="1"/>
  <c r="C23" i="43" l="1"/>
  <c r="B24" i="30" l="1"/>
  <c r="B25" i="30"/>
  <c r="B26" i="30"/>
  <c r="B27" i="30"/>
  <c r="B23" i="30"/>
  <c r="B16" i="30"/>
  <c r="B17" i="30"/>
  <c r="B18" i="30"/>
  <c r="B19" i="30"/>
  <c r="B15" i="30"/>
  <c r="G27" i="40" l="1"/>
  <c r="D28" i="40"/>
  <c r="D27" i="40"/>
  <c r="J4" i="40" l="1"/>
  <c r="I26" i="40"/>
  <c r="G14" i="30" l="1"/>
  <c r="H14" i="30"/>
  <c r="I14" i="30"/>
  <c r="F14" i="30"/>
  <c r="H26" i="40" l="1"/>
  <c r="J15" i="30" l="1"/>
  <c r="F3" i="52"/>
  <c r="G3" i="52"/>
  <c r="H3" i="52"/>
  <c r="I3" i="52" s="1"/>
  <c r="F12" i="30"/>
  <c r="G12" i="30"/>
  <c r="H12" i="30"/>
  <c r="I12" i="30"/>
  <c r="F20" i="30"/>
  <c r="G20" i="30"/>
  <c r="H20" i="30"/>
  <c r="I20" i="30"/>
  <c r="D22" i="40" l="1"/>
  <c r="E22" i="40"/>
  <c r="F22" i="40"/>
  <c r="C22" i="40"/>
  <c r="AM43" i="30"/>
  <c r="BQ43" i="30" s="1"/>
  <c r="AN43" i="30"/>
  <c r="BR43" i="30" s="1"/>
  <c r="AO43" i="30"/>
  <c r="BS43" i="30" s="1"/>
  <c r="AL43" i="30"/>
  <c r="BP43" i="30" s="1"/>
  <c r="BX43" i="30"/>
  <c r="BY43" i="30"/>
  <c r="BZ43" i="30"/>
  <c r="BW43" i="30"/>
  <c r="M43" i="30"/>
  <c r="BO43" i="30"/>
  <c r="BV43" i="30"/>
  <c r="N7" i="60" l="1"/>
  <c r="N8" i="60" s="1"/>
  <c r="AP43" i="30"/>
  <c r="CA43" i="30"/>
  <c r="BT43" i="30"/>
  <c r="G37" i="30" l="1"/>
  <c r="H37" i="30"/>
  <c r="I37" i="30"/>
  <c r="F37" i="30"/>
  <c r="M45" i="30" l="1"/>
  <c r="C14" i="62" s="1"/>
  <c r="AL45" i="30"/>
  <c r="BP45" i="30" s="1"/>
  <c r="AM45" i="30"/>
  <c r="BQ45" i="30" s="1"/>
  <c r="AN45" i="30"/>
  <c r="BR45" i="30" s="1"/>
  <c r="AO45" i="30"/>
  <c r="BS45" i="30" s="1"/>
  <c r="BO45" i="30"/>
  <c r="BV45" i="30"/>
  <c r="BW45" i="30"/>
  <c r="BX45" i="30"/>
  <c r="BY45" i="30"/>
  <c r="BZ45" i="30"/>
  <c r="C11" i="40"/>
  <c r="D11" i="40"/>
  <c r="E11" i="40"/>
  <c r="F11" i="40"/>
  <c r="G24" i="53"/>
  <c r="H24" i="53"/>
  <c r="F24" i="53"/>
  <c r="B3" i="50"/>
  <c r="K33" i="32"/>
  <c r="J13" i="32"/>
  <c r="J14" i="32"/>
  <c r="L8" i="32" l="1"/>
  <c r="L13" i="32" s="1"/>
  <c r="L9" i="32"/>
  <c r="L14" i="32" s="1"/>
  <c r="L10" i="32"/>
  <c r="L11" i="32"/>
  <c r="L33" i="32"/>
  <c r="H33" i="53"/>
  <c r="I33" i="53"/>
  <c r="G33" i="53"/>
  <c r="F39" i="53"/>
  <c r="G39" i="53"/>
  <c r="H39" i="53"/>
  <c r="I39" i="53"/>
  <c r="C14" i="50"/>
  <c r="E14" i="50"/>
  <c r="D14" i="50"/>
  <c r="F33" i="53"/>
  <c r="B14" i="50"/>
  <c r="AP45" i="30"/>
  <c r="BT45" i="30"/>
  <c r="G11" i="40"/>
  <c r="CA45" i="30"/>
  <c r="C3" i="53"/>
  <c r="K13" i="32"/>
  <c r="K14" i="32"/>
  <c r="H15" i="54"/>
  <c r="L15" i="54"/>
  <c r="M9" i="32" l="1"/>
  <c r="M14" i="32" s="1"/>
  <c r="M10" i="32"/>
  <c r="M11" i="32"/>
  <c r="M8" i="32"/>
  <c r="M13" i="32" s="1"/>
  <c r="M33" i="32"/>
  <c r="M12" i="53"/>
  <c r="M17" i="53" s="1"/>
  <c r="U12" i="53"/>
  <c r="U17" i="53" s="1"/>
  <c r="G40" i="53"/>
  <c r="H40" i="53"/>
  <c r="I40" i="53"/>
  <c r="F40" i="53"/>
  <c r="I32" i="53"/>
  <c r="G32" i="53"/>
  <c r="H32" i="53"/>
  <c r="G34" i="53"/>
  <c r="F34" i="53"/>
  <c r="I34" i="53"/>
  <c r="H34" i="53"/>
  <c r="F14" i="50"/>
  <c r="G13" i="54" s="1"/>
  <c r="G31" i="53"/>
  <c r="H31" i="53"/>
  <c r="I31" i="53"/>
  <c r="F31" i="53"/>
  <c r="F32" i="53"/>
  <c r="N33" i="32" l="1"/>
  <c r="O33" i="32" s="1"/>
  <c r="N9" i="32"/>
  <c r="N14" i="32" s="1"/>
  <c r="N10" i="32"/>
  <c r="N11" i="32"/>
  <c r="N8" i="32"/>
  <c r="N13" i="32" s="1"/>
  <c r="V12" i="53"/>
  <c r="V17" i="53" s="1"/>
  <c r="L12" i="53"/>
  <c r="L17" i="53" s="1"/>
  <c r="N12" i="53"/>
  <c r="N17" i="53" s="1"/>
  <c r="K12" i="53"/>
  <c r="K17" i="53" s="1"/>
  <c r="J40" i="53"/>
  <c r="J34" i="53"/>
  <c r="J33" i="53"/>
  <c r="J31" i="53"/>
  <c r="J32" i="53"/>
  <c r="P33" i="32" l="1"/>
  <c r="Q33" i="32" s="1"/>
  <c r="P8" i="32"/>
  <c r="P13" i="32" s="1"/>
  <c r="P9" i="32"/>
  <c r="P14" i="32" s="1"/>
  <c r="P10" i="32"/>
  <c r="P11" i="32"/>
  <c r="O8" i="32"/>
  <c r="O13" i="32" s="1"/>
  <c r="O9" i="32"/>
  <c r="O14" i="32" s="1"/>
  <c r="O10" i="32"/>
  <c r="O11" i="32"/>
  <c r="R8" i="32" l="1"/>
  <c r="R9" i="32"/>
  <c r="R10" i="32"/>
  <c r="R11" i="32"/>
  <c r="Q8" i="32"/>
  <c r="Q13" i="32" s="1"/>
  <c r="Q9" i="32"/>
  <c r="Q14" i="32" s="1"/>
  <c r="Q10" i="32"/>
  <c r="Q11" i="32"/>
  <c r="R33" i="32"/>
  <c r="R13" i="32"/>
  <c r="R14" i="32"/>
  <c r="CA3" i="30"/>
  <c r="BW3" i="30"/>
  <c r="BV5" i="30"/>
  <c r="BV6" i="30"/>
  <c r="BV7" i="30"/>
  <c r="BV8" i="30"/>
  <c r="BV9" i="30"/>
  <c r="BV10" i="30"/>
  <c r="BV11" i="30"/>
  <c r="BV12" i="30"/>
  <c r="BV13" i="30"/>
  <c r="BV14" i="30"/>
  <c r="BV15" i="30"/>
  <c r="BV16" i="30"/>
  <c r="BV17" i="30"/>
  <c r="BV18" i="30"/>
  <c r="BV19" i="30"/>
  <c r="BV20" i="30"/>
  <c r="BV21" i="30"/>
  <c r="BV22" i="30"/>
  <c r="BV23" i="30"/>
  <c r="BV24" i="30"/>
  <c r="BV25" i="30"/>
  <c r="BV26" i="30"/>
  <c r="BV27" i="30"/>
  <c r="BV28" i="30"/>
  <c r="BV29" i="30"/>
  <c r="BV30" i="30"/>
  <c r="BV31" i="30"/>
  <c r="BV32" i="30"/>
  <c r="BV33" i="30"/>
  <c r="BV34" i="30"/>
  <c r="BV35" i="30"/>
  <c r="BV36" i="30"/>
  <c r="BV37" i="30"/>
  <c r="BV38" i="30"/>
  <c r="BV39" i="30"/>
  <c r="BV40" i="30"/>
  <c r="BV41" i="30"/>
  <c r="BV42" i="30"/>
  <c r="BV44" i="30"/>
  <c r="BV46" i="30"/>
  <c r="BV47" i="30"/>
  <c r="BV48" i="30"/>
  <c r="BV49" i="30"/>
  <c r="BV4" i="30"/>
  <c r="BO14" i="30"/>
  <c r="BO15" i="30"/>
  <c r="BO16" i="30"/>
  <c r="BO17" i="30"/>
  <c r="BO18" i="30"/>
  <c r="BO19" i="30"/>
  <c r="BO20" i="30"/>
  <c r="BO21" i="30"/>
  <c r="BO22" i="30"/>
  <c r="BO23" i="30"/>
  <c r="BO24" i="30"/>
  <c r="BO25" i="30"/>
  <c r="BO26" i="30"/>
  <c r="BO27" i="30"/>
  <c r="BO28" i="30"/>
  <c r="BO29" i="30"/>
  <c r="BO30" i="30"/>
  <c r="BO31" i="30"/>
  <c r="BO32" i="30"/>
  <c r="BO33" i="30"/>
  <c r="BO34" i="30"/>
  <c r="BO35" i="30"/>
  <c r="BO36" i="30"/>
  <c r="BO37" i="30"/>
  <c r="BO38" i="30"/>
  <c r="BO39" i="30"/>
  <c r="BO40" i="30"/>
  <c r="BO41" i="30"/>
  <c r="BO42" i="30"/>
  <c r="BO44" i="30"/>
  <c r="BO46" i="30"/>
  <c r="BO47" i="30"/>
  <c r="BO13" i="30"/>
  <c r="BO12" i="30"/>
  <c r="BO5" i="30"/>
  <c r="BO6" i="30"/>
  <c r="BO7" i="30"/>
  <c r="BO8" i="30"/>
  <c r="BO9" i="30"/>
  <c r="BO10" i="30"/>
  <c r="BO11" i="30"/>
  <c r="BO4" i="30"/>
  <c r="S8" i="32" l="1"/>
  <c r="S9" i="32"/>
  <c r="S10" i="32"/>
  <c r="S11" i="32"/>
  <c r="S13" i="32"/>
  <c r="S14" i="32"/>
  <c r="BT3" i="30"/>
  <c r="BT37" i="30" s="1"/>
  <c r="BP3" i="30"/>
  <c r="BP37" i="30" s="1"/>
  <c r="BC30" i="30"/>
  <c r="BC22" i="30"/>
  <c r="BC14" i="30"/>
  <c r="BC3" i="30"/>
  <c r="E7" i="46" l="1"/>
  <c r="F7" i="46"/>
  <c r="G7" i="46"/>
  <c r="H7" i="46"/>
  <c r="I7" i="46"/>
  <c r="J7" i="46"/>
  <c r="K7" i="46"/>
  <c r="L7" i="46"/>
  <c r="D7" i="46"/>
  <c r="C7" i="46"/>
  <c r="E11" i="52" l="1"/>
  <c r="AY28" i="30" l="1"/>
  <c r="N51" i="52"/>
  <c r="M51" i="52"/>
  <c r="L51" i="52"/>
  <c r="K51" i="52"/>
  <c r="J51" i="52"/>
  <c r="I51" i="52"/>
  <c r="H51" i="52"/>
  <c r="G51" i="52"/>
  <c r="F51" i="52"/>
  <c r="E51" i="52"/>
  <c r="N63" i="52"/>
  <c r="M63" i="52"/>
  <c r="L63" i="52"/>
  <c r="K63" i="52"/>
  <c r="J63" i="52"/>
  <c r="I63" i="52"/>
  <c r="H63" i="52"/>
  <c r="G63" i="52"/>
  <c r="F63" i="52"/>
  <c r="E63" i="52"/>
  <c r="N59" i="52"/>
  <c r="M59" i="52"/>
  <c r="L59" i="52"/>
  <c r="K59" i="52"/>
  <c r="J59" i="52"/>
  <c r="I59" i="52"/>
  <c r="H59" i="52"/>
  <c r="G59" i="52"/>
  <c r="F59" i="52"/>
  <c r="E59" i="52"/>
  <c r="N55" i="52"/>
  <c r="M55" i="52"/>
  <c r="L55" i="52"/>
  <c r="K55" i="52"/>
  <c r="J55" i="52"/>
  <c r="I55" i="52"/>
  <c r="H55" i="52"/>
  <c r="G55" i="52"/>
  <c r="F55" i="52"/>
  <c r="E55" i="52"/>
  <c r="N47" i="52"/>
  <c r="M47" i="52"/>
  <c r="L47" i="52"/>
  <c r="K47" i="52"/>
  <c r="J47" i="52"/>
  <c r="I47" i="52"/>
  <c r="H47" i="52"/>
  <c r="G47" i="52"/>
  <c r="F47" i="52"/>
  <c r="E47" i="52"/>
  <c r="N43" i="52"/>
  <c r="M43" i="52"/>
  <c r="L43" i="52"/>
  <c r="K43" i="52"/>
  <c r="J43" i="52"/>
  <c r="I43" i="52"/>
  <c r="H43" i="52"/>
  <c r="G43" i="52"/>
  <c r="F43" i="52"/>
  <c r="E43" i="52"/>
  <c r="N39" i="52"/>
  <c r="M39" i="52"/>
  <c r="L39" i="52"/>
  <c r="K39" i="52"/>
  <c r="J39" i="52"/>
  <c r="I39" i="52"/>
  <c r="H39" i="52"/>
  <c r="G39" i="52"/>
  <c r="F39" i="52"/>
  <c r="E39" i="52"/>
  <c r="N35" i="52"/>
  <c r="M35" i="52"/>
  <c r="L35" i="52"/>
  <c r="K35" i="52"/>
  <c r="J35" i="52"/>
  <c r="I35" i="52"/>
  <c r="H35" i="52"/>
  <c r="G35" i="52"/>
  <c r="F35" i="52"/>
  <c r="E35" i="52"/>
  <c r="N31" i="52"/>
  <c r="M31" i="52"/>
  <c r="L31" i="52"/>
  <c r="K31" i="52"/>
  <c r="J31" i="52"/>
  <c r="I31" i="52"/>
  <c r="H31" i="52"/>
  <c r="G31" i="52"/>
  <c r="F31" i="52"/>
  <c r="E31" i="52"/>
  <c r="N27" i="52"/>
  <c r="M27" i="52"/>
  <c r="L27" i="52"/>
  <c r="K27" i="52"/>
  <c r="J27" i="52"/>
  <c r="I27" i="52"/>
  <c r="H27" i="52"/>
  <c r="G27" i="52"/>
  <c r="F27" i="52"/>
  <c r="E27" i="52"/>
  <c r="N23" i="52"/>
  <c r="M23" i="52"/>
  <c r="L23" i="52"/>
  <c r="K23" i="52"/>
  <c r="J23" i="52"/>
  <c r="I23" i="52"/>
  <c r="H23" i="52"/>
  <c r="G23" i="52"/>
  <c r="F23" i="52"/>
  <c r="E23" i="52"/>
  <c r="N19" i="52"/>
  <c r="M19" i="52"/>
  <c r="L19" i="52"/>
  <c r="K19" i="52"/>
  <c r="J19" i="52"/>
  <c r="I19" i="52"/>
  <c r="H19" i="52"/>
  <c r="G19" i="52"/>
  <c r="F19" i="52"/>
  <c r="E19" i="52"/>
  <c r="N15" i="52"/>
  <c r="M15" i="52"/>
  <c r="L15" i="52"/>
  <c r="K15" i="52"/>
  <c r="J15" i="52"/>
  <c r="I15" i="52"/>
  <c r="H15" i="52"/>
  <c r="G15" i="52"/>
  <c r="F15" i="52"/>
  <c r="E15" i="52"/>
  <c r="N11" i="52"/>
  <c r="M11" i="52"/>
  <c r="L11" i="52"/>
  <c r="K11" i="52"/>
  <c r="J11" i="52"/>
  <c r="I11" i="52"/>
  <c r="H11" i="52"/>
  <c r="G11" i="52"/>
  <c r="F11" i="52"/>
  <c r="N7" i="52"/>
  <c r="M7" i="52"/>
  <c r="L7" i="52"/>
  <c r="K7" i="52"/>
  <c r="J7" i="52"/>
  <c r="I7" i="52"/>
  <c r="H7" i="52"/>
  <c r="G7" i="52"/>
  <c r="F7" i="52"/>
  <c r="E7" i="52"/>
  <c r="O4" i="52"/>
  <c r="C1" i="52"/>
  <c r="H42" i="30" l="1"/>
  <c r="H35" i="53" s="1"/>
  <c r="H36" i="53" s="1"/>
  <c r="G41" i="30"/>
  <c r="D21" i="40" s="1"/>
  <c r="F41" i="30"/>
  <c r="H41" i="30"/>
  <c r="E21" i="40" s="1"/>
  <c r="I41" i="30"/>
  <c r="F21" i="40" s="1"/>
  <c r="F42" i="30"/>
  <c r="O47" i="52"/>
  <c r="O59" i="52"/>
  <c r="O51" i="52"/>
  <c r="I42" i="30"/>
  <c r="G42" i="30"/>
  <c r="H8" i="46"/>
  <c r="L8" i="46"/>
  <c r="I8" i="46"/>
  <c r="J8" i="46"/>
  <c r="G8" i="46"/>
  <c r="K8" i="46"/>
  <c r="L16" i="48"/>
  <c r="H16" i="48"/>
  <c r="K16" i="48"/>
  <c r="G16" i="48"/>
  <c r="J16" i="48"/>
  <c r="I16" i="48"/>
  <c r="O11" i="52"/>
  <c r="O35" i="52"/>
  <c r="O19" i="52"/>
  <c r="O27" i="52"/>
  <c r="O43" i="52"/>
  <c r="O55" i="52"/>
  <c r="O63" i="52"/>
  <c r="O15" i="52"/>
  <c r="O23" i="52"/>
  <c r="O31" i="52"/>
  <c r="O39" i="52"/>
  <c r="O7" i="52"/>
  <c r="M14" i="46"/>
  <c r="M16" i="46"/>
  <c r="M17" i="46"/>
  <c r="M13" i="46"/>
  <c r="E3" i="52"/>
  <c r="J3" i="52" s="1"/>
  <c r="K3" i="52" s="1"/>
  <c r="L3" i="52" s="1"/>
  <c r="M3" i="52" s="1"/>
  <c r="N3" i="52" s="1"/>
  <c r="E20" i="40" l="1"/>
  <c r="H47" i="30"/>
  <c r="E16" i="48"/>
  <c r="E8" i="46"/>
  <c r="C20" i="40"/>
  <c r="F35" i="53"/>
  <c r="D16" i="48"/>
  <c r="G35" i="53"/>
  <c r="F8" i="46"/>
  <c r="I35" i="53"/>
  <c r="I36" i="53" s="1"/>
  <c r="D20" i="40"/>
  <c r="D8" i="46"/>
  <c r="F20" i="40"/>
  <c r="G47" i="30"/>
  <c r="I47" i="30"/>
  <c r="F16" i="48"/>
  <c r="M42" i="30"/>
  <c r="D14" i="62" s="1"/>
  <c r="C21" i="40"/>
  <c r="C8" i="46"/>
  <c r="M41" i="30"/>
  <c r="C16" i="48"/>
  <c r="F47" i="30"/>
  <c r="BT28" i="30"/>
  <c r="BT27" i="30"/>
  <c r="BT26" i="30"/>
  <c r="BT25" i="30"/>
  <c r="BT24" i="30"/>
  <c r="BT23" i="30"/>
  <c r="R7" i="60" l="1"/>
  <c r="R8" i="60" s="1"/>
  <c r="H13" i="61"/>
  <c r="H43" i="61" s="1"/>
  <c r="F36" i="53"/>
  <c r="O12" i="53"/>
  <c r="O17" i="53" s="1"/>
  <c r="G36" i="53"/>
  <c r="J35" i="53"/>
  <c r="G20" i="40"/>
  <c r="AO42" i="30"/>
  <c r="AN42" i="30"/>
  <c r="AM42" i="30"/>
  <c r="AL42" i="30"/>
  <c r="AO41" i="30"/>
  <c r="AN41" i="30"/>
  <c r="AM41" i="30"/>
  <c r="AL41" i="30"/>
  <c r="P12" i="53" l="1"/>
  <c r="P17" i="53" s="1"/>
  <c r="Q12" i="53"/>
  <c r="Q17" i="53" s="1"/>
  <c r="BW42" i="30"/>
  <c r="BX42" i="30"/>
  <c r="BY42" i="30"/>
  <c r="BZ42" i="30"/>
  <c r="BZ41" i="30"/>
  <c r="BS41" i="30"/>
  <c r="BY41" i="30"/>
  <c r="BR41" i="30"/>
  <c r="BX41" i="30"/>
  <c r="BQ41" i="30"/>
  <c r="BR42" i="30"/>
  <c r="D11" i="50" s="1"/>
  <c r="BS42" i="30"/>
  <c r="E11" i="50" s="1"/>
  <c r="BQ42" i="30"/>
  <c r="C11" i="50" s="1"/>
  <c r="BW41" i="30"/>
  <c r="BP41" i="30"/>
  <c r="AP41" i="30"/>
  <c r="BP42" i="30"/>
  <c r="B11" i="50" s="1"/>
  <c r="AP42" i="30"/>
  <c r="B7" i="50"/>
  <c r="E29" i="48"/>
  <c r="B29" i="48"/>
  <c r="C23" i="48"/>
  <c r="L17" i="48"/>
  <c r="K17" i="48"/>
  <c r="J17" i="48"/>
  <c r="I17" i="48"/>
  <c r="H17" i="48"/>
  <c r="G17" i="48"/>
  <c r="F17" i="48"/>
  <c r="E17" i="48"/>
  <c r="D17" i="48"/>
  <c r="C17" i="48"/>
  <c r="L15" i="48"/>
  <c r="K15" i="48"/>
  <c r="J15" i="48"/>
  <c r="I15" i="48"/>
  <c r="H15" i="48"/>
  <c r="G15" i="48"/>
  <c r="F15" i="48"/>
  <c r="E15" i="48"/>
  <c r="D15" i="48"/>
  <c r="C15" i="48"/>
  <c r="L9" i="48"/>
  <c r="K9" i="48"/>
  <c r="J9" i="48"/>
  <c r="I9" i="48"/>
  <c r="H9" i="48"/>
  <c r="G9" i="48"/>
  <c r="F9" i="48"/>
  <c r="E9" i="48"/>
  <c r="D9" i="48"/>
  <c r="C9" i="48"/>
  <c r="C7" i="48"/>
  <c r="K5" i="48"/>
  <c r="K4" i="48"/>
  <c r="C4" i="48"/>
  <c r="K3" i="48"/>
  <c r="C3" i="48"/>
  <c r="K2" i="48"/>
  <c r="C2" i="48"/>
  <c r="K1" i="48"/>
  <c r="C1" i="48"/>
  <c r="AR56" i="30"/>
  <c r="AS56" i="30"/>
  <c r="AT56" i="30"/>
  <c r="AQ56" i="30"/>
  <c r="F27" i="43"/>
  <c r="E27" i="43"/>
  <c r="F22" i="30"/>
  <c r="N16" i="46"/>
  <c r="J5" i="32"/>
  <c r="I32" i="32" s="1"/>
  <c r="BW46" i="30"/>
  <c r="BX46" i="30"/>
  <c r="BY46" i="30"/>
  <c r="BZ46" i="30"/>
  <c r="BX34" i="30"/>
  <c r="CA32" i="30"/>
  <c r="CA33" i="30"/>
  <c r="CA16" i="30"/>
  <c r="CA17" i="30"/>
  <c r="CA18" i="30"/>
  <c r="CA19" i="30"/>
  <c r="BY20" i="30"/>
  <c r="BY12" i="30"/>
  <c r="BZ12" i="30"/>
  <c r="CA6" i="30"/>
  <c r="BW12" i="30"/>
  <c r="CA8" i="30"/>
  <c r="CA9" i="30"/>
  <c r="CA10" i="30"/>
  <c r="BZ34" i="30"/>
  <c r="BX20" i="30"/>
  <c r="CA11" i="30"/>
  <c r="CA7" i="30"/>
  <c r="CA5" i="30"/>
  <c r="BY34" i="30"/>
  <c r="BZ20" i="30"/>
  <c r="CA15" i="30"/>
  <c r="CA4" i="30"/>
  <c r="BX12" i="30"/>
  <c r="CA31" i="30"/>
  <c r="BW34" i="30"/>
  <c r="BW20" i="30"/>
  <c r="M40" i="46"/>
  <c r="F34" i="30"/>
  <c r="F28" i="30"/>
  <c r="G34" i="30"/>
  <c r="H34" i="30"/>
  <c r="I34" i="30"/>
  <c r="J32" i="30"/>
  <c r="J33" i="30"/>
  <c r="J31" i="30"/>
  <c r="G8" i="41"/>
  <c r="D6" i="46"/>
  <c r="E6" i="46"/>
  <c r="F6" i="46"/>
  <c r="G6" i="46"/>
  <c r="H6" i="46"/>
  <c r="I6" i="46"/>
  <c r="J6" i="46"/>
  <c r="K6" i="46"/>
  <c r="L6" i="46"/>
  <c r="C6" i="46"/>
  <c r="E50" i="30"/>
  <c r="E49" i="30"/>
  <c r="N17" i="46"/>
  <c r="D19" i="40"/>
  <c r="E19" i="40"/>
  <c r="F19" i="40"/>
  <c r="C19" i="40"/>
  <c r="AL38" i="30"/>
  <c r="BP38" i="30" s="1"/>
  <c r="AM38" i="30"/>
  <c r="BQ38" i="30" s="1"/>
  <c r="AN38" i="30"/>
  <c r="BR38" i="30" s="1"/>
  <c r="AO38" i="30"/>
  <c r="BS38" i="30" s="1"/>
  <c r="AL39" i="30"/>
  <c r="AM39" i="30"/>
  <c r="AN39" i="30"/>
  <c r="AO39" i="30"/>
  <c r="AL40" i="30"/>
  <c r="AM40" i="30"/>
  <c r="AN40" i="30"/>
  <c r="AO40" i="30"/>
  <c r="AL44" i="30"/>
  <c r="BP44" i="30" s="1"/>
  <c r="AM44" i="30"/>
  <c r="BQ44" i="30" s="1"/>
  <c r="C13" i="50" s="1"/>
  <c r="AN44" i="30"/>
  <c r="BR44" i="30" s="1"/>
  <c r="D13" i="50" s="1"/>
  <c r="AO44" i="30"/>
  <c r="BS44" i="30" s="1"/>
  <c r="E13" i="50" s="1"/>
  <c r="AL46" i="30"/>
  <c r="BP46" i="30" s="1"/>
  <c r="AM46" i="30"/>
  <c r="BQ46" i="30" s="1"/>
  <c r="AN46" i="30"/>
  <c r="BR46" i="30" s="1"/>
  <c r="AO46" i="30"/>
  <c r="BS46" i="30" s="1"/>
  <c r="J9" i="30"/>
  <c r="J8" i="30"/>
  <c r="J19" i="30"/>
  <c r="J16" i="30"/>
  <c r="J24" i="30"/>
  <c r="J18" i="30"/>
  <c r="J4" i="30"/>
  <c r="I6" i="40"/>
  <c r="C6" i="40"/>
  <c r="H4" i="40"/>
  <c r="H3" i="40"/>
  <c r="C5" i="40"/>
  <c r="C4" i="40"/>
  <c r="E36" i="40"/>
  <c r="B36" i="40"/>
  <c r="H6" i="40"/>
  <c r="C30" i="40"/>
  <c r="H5" i="40"/>
  <c r="C3" i="40"/>
  <c r="D1" i="30"/>
  <c r="B2" i="41"/>
  <c r="AZ28" i="30"/>
  <c r="AX28" i="30"/>
  <c r="AW28" i="30"/>
  <c r="M38" i="30"/>
  <c r="M7" i="60" s="1"/>
  <c r="M8" i="60" s="1"/>
  <c r="M39" i="30"/>
  <c r="E13" i="61" s="1"/>
  <c r="E43" i="61" s="1"/>
  <c r="M40" i="30"/>
  <c r="M44" i="30"/>
  <c r="D13" i="61" s="1"/>
  <c r="D43" i="61" s="1"/>
  <c r="M46" i="30"/>
  <c r="F13" i="61" s="1"/>
  <c r="F43" i="61" s="1"/>
  <c r="J5" i="30"/>
  <c r="J6" i="30"/>
  <c r="J7" i="30"/>
  <c r="J10" i="30"/>
  <c r="J11" i="30"/>
  <c r="J17" i="30"/>
  <c r="J23" i="30"/>
  <c r="J25" i="30"/>
  <c r="J26" i="30"/>
  <c r="J27" i="30"/>
  <c r="G28" i="30"/>
  <c r="H28" i="30"/>
  <c r="I28" i="30"/>
  <c r="AL3" i="30"/>
  <c r="AQ3" i="30" s="1"/>
  <c r="AW3" i="30" s="1"/>
  <c r="C4" i="46"/>
  <c r="C12" i="46" s="1"/>
  <c r="C9" i="40"/>
  <c r="C6" i="41"/>
  <c r="D9" i="40"/>
  <c r="L7" i="60" l="1"/>
  <c r="L8" i="60" s="1"/>
  <c r="K7" i="60"/>
  <c r="K8" i="60" s="1"/>
  <c r="J7" i="60"/>
  <c r="J8" i="60" s="1"/>
  <c r="G13" i="61"/>
  <c r="G43" i="61" s="1"/>
  <c r="O7" i="60"/>
  <c r="O7" i="30"/>
  <c r="AL14" i="30"/>
  <c r="AQ14" i="30" s="1"/>
  <c r="AW14" i="30" s="1"/>
  <c r="F11" i="50"/>
  <c r="BT41" i="30"/>
  <c r="BT46" i="30"/>
  <c r="BT42" i="30"/>
  <c r="BQ3" i="30"/>
  <c r="BQ37" i="30" s="1"/>
  <c r="BX3" i="30"/>
  <c r="B13" i="50"/>
  <c r="BT44" i="30"/>
  <c r="BT38" i="30"/>
  <c r="C7" i="50"/>
  <c r="C26" i="50" s="1"/>
  <c r="BD22" i="30"/>
  <c r="BD3" i="30"/>
  <c r="BD30" i="30"/>
  <c r="BD14" i="30"/>
  <c r="K5" i="32"/>
  <c r="J32" i="32" s="1"/>
  <c r="D4" i="46"/>
  <c r="D12" i="46" s="1"/>
  <c r="AM3" i="30"/>
  <c r="AR3" i="30" s="1"/>
  <c r="AX3" i="30" s="1"/>
  <c r="D6" i="41"/>
  <c r="G22" i="30"/>
  <c r="G30" i="30" s="1"/>
  <c r="I40" i="46"/>
  <c r="BR40" i="30"/>
  <c r="BW39" i="30"/>
  <c r="BY38" i="30"/>
  <c r="I39" i="46"/>
  <c r="L40" i="46"/>
  <c r="H40" i="46"/>
  <c r="D40" i="46"/>
  <c r="BQ40" i="30"/>
  <c r="BZ39" i="30"/>
  <c r="D41" i="46"/>
  <c r="K40" i="46"/>
  <c r="G40" i="46"/>
  <c r="BW40" i="30"/>
  <c r="BY39" i="30"/>
  <c r="BW38" i="30"/>
  <c r="G39" i="46"/>
  <c r="J40" i="46"/>
  <c r="L39" i="46"/>
  <c r="BZ40" i="30"/>
  <c r="BX39" i="30"/>
  <c r="K39" i="46"/>
  <c r="AP44" i="30"/>
  <c r="CA42" i="30"/>
  <c r="BZ38" i="30"/>
  <c r="BZ44" i="30"/>
  <c r="BY44" i="30"/>
  <c r="CA34" i="30"/>
  <c r="BX38" i="30"/>
  <c r="BX44" i="30"/>
  <c r="BY40" i="30"/>
  <c r="BX40" i="30"/>
  <c r="C39" i="46"/>
  <c r="BW44" i="30"/>
  <c r="E40" i="46"/>
  <c r="AL47" i="30"/>
  <c r="BS40" i="30"/>
  <c r="BS39" i="30"/>
  <c r="BR39" i="30"/>
  <c r="BQ39" i="30"/>
  <c r="AN47" i="30"/>
  <c r="BP39" i="30"/>
  <c r="AO47" i="30"/>
  <c r="AM47" i="30"/>
  <c r="CA41" i="30"/>
  <c r="AP46" i="30"/>
  <c r="AP38" i="30"/>
  <c r="F39" i="46"/>
  <c r="E41" i="46"/>
  <c r="CA20" i="30"/>
  <c r="CA12" i="30"/>
  <c r="AP40" i="30"/>
  <c r="J28" i="30"/>
  <c r="CA14" i="30"/>
  <c r="CA22" i="30" s="1"/>
  <c r="CA30" i="30" s="1"/>
  <c r="CA37" i="30" s="1"/>
  <c r="BT14" i="30"/>
  <c r="BT22" i="30" s="1"/>
  <c r="BT30" i="30" s="1"/>
  <c r="J20" i="30"/>
  <c r="J34" i="30"/>
  <c r="M8" i="46"/>
  <c r="M6" i="46"/>
  <c r="D7" i="48"/>
  <c r="F30" i="30"/>
  <c r="AL22" i="30"/>
  <c r="AQ22" i="30" s="1"/>
  <c r="AW22" i="30" s="1"/>
  <c r="J12" i="30"/>
  <c r="BP40" i="30"/>
  <c r="CA46" i="30"/>
  <c r="F40" i="46"/>
  <c r="AM14" i="30"/>
  <c r="AR14" i="30" s="1"/>
  <c r="AX14" i="30" s="1"/>
  <c r="C30" i="46"/>
  <c r="C21" i="46"/>
  <c r="G22" i="40"/>
  <c r="H35" i="30"/>
  <c r="AS59" i="30" s="1"/>
  <c r="N6" i="46"/>
  <c r="M15" i="48"/>
  <c r="G19" i="40"/>
  <c r="G35" i="30"/>
  <c r="AR59" i="30" s="1"/>
  <c r="I35" i="30"/>
  <c r="AT59" i="30" s="1"/>
  <c r="M9" i="48"/>
  <c r="M7" i="46"/>
  <c r="N8" i="46"/>
  <c r="M17" i="48"/>
  <c r="F35" i="30"/>
  <c r="AQ59" i="30" s="1"/>
  <c r="AP39" i="30"/>
  <c r="H24" i="46"/>
  <c r="J25" i="46"/>
  <c r="C25" i="46"/>
  <c r="E24" i="46"/>
  <c r="G24" i="46"/>
  <c r="G25" i="46"/>
  <c r="L24" i="46"/>
  <c r="D24" i="46"/>
  <c r="I24" i="46"/>
  <c r="E25" i="46"/>
  <c r="J24" i="46"/>
  <c r="L25" i="46"/>
  <c r="D25" i="46"/>
  <c r="B33" i="50"/>
  <c r="B26" i="50"/>
  <c r="K25" i="46"/>
  <c r="F24" i="46"/>
  <c r="K24" i="46"/>
  <c r="H25" i="46"/>
  <c r="C24" i="46"/>
  <c r="I25" i="46"/>
  <c r="F25" i="46"/>
  <c r="J15" i="54"/>
  <c r="AM22" i="30" l="1"/>
  <c r="AR22" i="30" s="1"/>
  <c r="AX22" i="30" s="1"/>
  <c r="O8" i="60"/>
  <c r="P7" i="60"/>
  <c r="BS47" i="30"/>
  <c r="D10" i="50"/>
  <c r="BR47" i="30"/>
  <c r="C10" i="50"/>
  <c r="BQ47" i="30"/>
  <c r="B10" i="50"/>
  <c r="C33" i="50"/>
  <c r="BX49" i="30"/>
  <c r="BZ49" i="30"/>
  <c r="E10" i="50"/>
  <c r="BY49" i="30"/>
  <c r="BW49" i="30"/>
  <c r="BT40" i="30"/>
  <c r="J39" i="53"/>
  <c r="F13" i="50"/>
  <c r="G15" i="54"/>
  <c r="BX47" i="30"/>
  <c r="C28" i="50" s="1"/>
  <c r="BT39" i="30"/>
  <c r="BR3" i="30"/>
  <c r="BR37" i="30" s="1"/>
  <c r="BY3" i="30"/>
  <c r="BP47" i="30"/>
  <c r="D30" i="46"/>
  <c r="D21" i="46"/>
  <c r="BW47" i="30"/>
  <c r="B28" i="50" s="1"/>
  <c r="CA38" i="30"/>
  <c r="BY47" i="30"/>
  <c r="D28" i="50" s="1"/>
  <c r="CA40" i="30"/>
  <c r="CA44" i="30"/>
  <c r="BZ3" i="30"/>
  <c r="BE30" i="30"/>
  <c r="BE14" i="30"/>
  <c r="BE22" i="30"/>
  <c r="BE3" i="30"/>
  <c r="AN3" i="30"/>
  <c r="AS3" i="30" s="1"/>
  <c r="AY3" i="30" s="1"/>
  <c r="E7" i="48"/>
  <c r="BZ47" i="30"/>
  <c r="E28" i="50" s="1"/>
  <c r="L5" i="32"/>
  <c r="K32" i="32" s="1"/>
  <c r="E4" i="46"/>
  <c r="E30" i="46" s="1"/>
  <c r="D7" i="50"/>
  <c r="D26" i="50" s="1"/>
  <c r="E6" i="41"/>
  <c r="C41" i="46"/>
  <c r="D39" i="46"/>
  <c r="J39" i="46"/>
  <c r="E39" i="46"/>
  <c r="H39" i="46"/>
  <c r="G41" i="46"/>
  <c r="L41" i="46"/>
  <c r="K41" i="46"/>
  <c r="I41" i="46"/>
  <c r="J41" i="46"/>
  <c r="C40" i="46"/>
  <c r="CA39" i="30"/>
  <c r="J34" i="46"/>
  <c r="BQ33" i="30"/>
  <c r="J35" i="30"/>
  <c r="H41" i="46"/>
  <c r="H34" i="46"/>
  <c r="G34" i="46"/>
  <c r="F34" i="46"/>
  <c r="K34" i="46"/>
  <c r="E9" i="40"/>
  <c r="F41" i="46"/>
  <c r="BR31" i="30"/>
  <c r="M25" i="46"/>
  <c r="M24" i="46"/>
  <c r="AL30" i="30"/>
  <c r="AQ30" i="30" s="1"/>
  <c r="AW30" i="30" s="1"/>
  <c r="N7" i="46"/>
  <c r="BP32" i="30"/>
  <c r="AM30" i="30"/>
  <c r="AR30" i="30" s="1"/>
  <c r="AX30" i="30" s="1"/>
  <c r="H22" i="30"/>
  <c r="AN14" i="30"/>
  <c r="AS14" i="30" s="1"/>
  <c r="AY14" i="30" s="1"/>
  <c r="M16" i="48"/>
  <c r="L34" i="46"/>
  <c r="BP14" i="30"/>
  <c r="BP22" i="30" s="1"/>
  <c r="BP30" i="30" s="1"/>
  <c r="G21" i="40"/>
  <c r="M47" i="30"/>
  <c r="N25" i="46"/>
  <c r="N24" i="46"/>
  <c r="E21" i="46" l="1"/>
  <c r="AL9" i="30"/>
  <c r="P8" i="60"/>
  <c r="Q7" i="60"/>
  <c r="Q8" i="60" s="1"/>
  <c r="BT47" i="30"/>
  <c r="F13" i="54"/>
  <c r="F15" i="54" s="1"/>
  <c r="BR17" i="30"/>
  <c r="BQ31" i="30"/>
  <c r="CA49" i="30"/>
  <c r="F10" i="50"/>
  <c r="E13" i="54" s="1"/>
  <c r="BS7" i="30"/>
  <c r="J36" i="53"/>
  <c r="F28" i="50"/>
  <c r="AL24" i="30"/>
  <c r="BW24" i="30" s="1"/>
  <c r="AL15" i="30"/>
  <c r="F4" i="46"/>
  <c r="F21" i="46" s="1"/>
  <c r="AO3" i="30"/>
  <c r="AT3" i="30" s="1"/>
  <c r="AZ3" i="30" s="1"/>
  <c r="BS31" i="30"/>
  <c r="D33" i="50"/>
  <c r="AO14" i="30"/>
  <c r="AT14" i="30" s="1"/>
  <c r="AZ14" i="30" s="1"/>
  <c r="BS3" i="30"/>
  <c r="BS37" i="30" s="1"/>
  <c r="BZ23" i="30"/>
  <c r="F6" i="41"/>
  <c r="BF14" i="30"/>
  <c r="BF30" i="30"/>
  <c r="BF22" i="30"/>
  <c r="BF3" i="30"/>
  <c r="F9" i="40"/>
  <c r="E7" i="50"/>
  <c r="M5" i="32"/>
  <c r="L32" i="32" s="1"/>
  <c r="E12" i="46"/>
  <c r="F7" i="48"/>
  <c r="M39" i="46"/>
  <c r="N39" i="46"/>
  <c r="K31" i="46"/>
  <c r="M41" i="46"/>
  <c r="N41" i="46"/>
  <c r="I31" i="46"/>
  <c r="I35" i="46"/>
  <c r="J31" i="46"/>
  <c r="J35" i="46"/>
  <c r="I34" i="46"/>
  <c r="M34" i="46" s="1"/>
  <c r="K35" i="46"/>
  <c r="L31" i="46"/>
  <c r="L35" i="46"/>
  <c r="H31" i="46"/>
  <c r="H35" i="46"/>
  <c r="G31" i="46"/>
  <c r="G35" i="46"/>
  <c r="F31" i="46"/>
  <c r="F35" i="46"/>
  <c r="C31" i="46"/>
  <c r="C35" i="46"/>
  <c r="E31" i="46"/>
  <c r="E35" i="46"/>
  <c r="E34" i="46"/>
  <c r="C34" i="46"/>
  <c r="CA47" i="30"/>
  <c r="AH31" i="30"/>
  <c r="BR16" i="30"/>
  <c r="AL27" i="30"/>
  <c r="BW27" i="30" s="1"/>
  <c r="BQ14" i="30"/>
  <c r="BQ22" i="30" s="1"/>
  <c r="BQ30" i="30" s="1"/>
  <c r="AL37" i="30"/>
  <c r="BX14" i="30"/>
  <c r="BX22" i="30" s="1"/>
  <c r="BX30" i="30" s="1"/>
  <c r="BX37" i="30" s="1"/>
  <c r="BS33" i="30"/>
  <c r="BX25" i="30"/>
  <c r="BR33" i="30"/>
  <c r="AH33" i="30"/>
  <c r="AH9" i="30"/>
  <c r="AI9" i="30" s="1"/>
  <c r="AH32" i="30"/>
  <c r="AL26" i="30"/>
  <c r="BW26" i="30" s="1"/>
  <c r="BR8" i="30"/>
  <c r="BS32" i="30"/>
  <c r="AP47" i="30"/>
  <c r="BR32" i="30"/>
  <c r="BQ32" i="30"/>
  <c r="BR14" i="30"/>
  <c r="BR22" i="30" s="1"/>
  <c r="BR30" i="30" s="1"/>
  <c r="AM37" i="30"/>
  <c r="H30" i="30"/>
  <c r="AN22" i="30"/>
  <c r="AS22" i="30" s="1"/>
  <c r="AY22" i="30" s="1"/>
  <c r="BW14" i="30"/>
  <c r="BW22" i="30" s="1"/>
  <c r="BW30" i="30" s="1"/>
  <c r="BW37" i="30" s="1"/>
  <c r="D34" i="46"/>
  <c r="BR10" i="30" l="1"/>
  <c r="BS10" i="30"/>
  <c r="AL10" i="30"/>
  <c r="BP10" i="30" s="1"/>
  <c r="BS11" i="30"/>
  <c r="BR18" i="30"/>
  <c r="AL17" i="30"/>
  <c r="BP17" i="30" s="1"/>
  <c r="BS17" i="30"/>
  <c r="BQ17" i="30"/>
  <c r="AH17" i="30"/>
  <c r="AI17" i="30" s="1"/>
  <c r="AH18" i="30"/>
  <c r="AI18" i="30" s="1"/>
  <c r="AL7" i="30"/>
  <c r="BP7" i="30" s="1"/>
  <c r="BP31" i="30"/>
  <c r="BY24" i="30"/>
  <c r="BR7" i="30"/>
  <c r="AL18" i="30"/>
  <c r="BP18" i="30" s="1"/>
  <c r="AL5" i="30"/>
  <c r="AH10" i="30"/>
  <c r="AI10" i="30" s="1"/>
  <c r="BQ7" i="30"/>
  <c r="AH4" i="30"/>
  <c r="AI4" i="30" s="1"/>
  <c r="H28" i="53"/>
  <c r="AL11" i="30"/>
  <c r="AL4" i="30"/>
  <c r="BX24" i="30"/>
  <c r="BZ24" i="30"/>
  <c r="AH11" i="30"/>
  <c r="AI11" i="30" s="1"/>
  <c r="AH5" i="30"/>
  <c r="AI5" i="30" s="1"/>
  <c r="BR15" i="30"/>
  <c r="BW23" i="30"/>
  <c r="BS15" i="30"/>
  <c r="BY23" i="30"/>
  <c r="BX23" i="30"/>
  <c r="AH23" i="30"/>
  <c r="AI23" i="30" s="1"/>
  <c r="AH15" i="30"/>
  <c r="AI15" i="30" s="1"/>
  <c r="AH24" i="30"/>
  <c r="AI24" i="30" s="1"/>
  <c r="AH7" i="30"/>
  <c r="AI7" i="30" s="1"/>
  <c r="G28" i="53"/>
  <c r="I22" i="30"/>
  <c r="F30" i="46"/>
  <c r="F12" i="46"/>
  <c r="BS14" i="30"/>
  <c r="BS22" i="30" s="1"/>
  <c r="BS30" i="30" s="1"/>
  <c r="BQ16" i="30"/>
  <c r="BS16" i="30"/>
  <c r="AH16" i="30"/>
  <c r="AI16" i="30" s="1"/>
  <c r="AL16" i="30"/>
  <c r="BP16" i="30" s="1"/>
  <c r="BY27" i="30"/>
  <c r="BQ10" i="30"/>
  <c r="BP9" i="30"/>
  <c r="E15" i="54"/>
  <c r="BR9" i="30"/>
  <c r="BS9" i="30"/>
  <c r="BQ9" i="30"/>
  <c r="BZ27" i="30"/>
  <c r="M35" i="46"/>
  <c r="N5" i="32"/>
  <c r="M32" i="32" s="1"/>
  <c r="G4" i="46"/>
  <c r="G7" i="48"/>
  <c r="E33" i="50"/>
  <c r="E26" i="50"/>
  <c r="BZ14" i="30"/>
  <c r="BZ22" i="30" s="1"/>
  <c r="BZ30" i="30" s="1"/>
  <c r="BZ37" i="30" s="1"/>
  <c r="AH27" i="30"/>
  <c r="AI27" i="30" s="1"/>
  <c r="BX27" i="30"/>
  <c r="BS34" i="30"/>
  <c r="M31" i="46"/>
  <c r="BR34" i="30"/>
  <c r="D31" i="46"/>
  <c r="D35" i="46"/>
  <c r="N35" i="46" s="1"/>
  <c r="AL34" i="30"/>
  <c r="BP33" i="30"/>
  <c r="BQ5" i="30"/>
  <c r="AO34" i="30"/>
  <c r="BP15" i="30"/>
  <c r="BQ4" i="30"/>
  <c r="BY26" i="30"/>
  <c r="AN34" i="30"/>
  <c r="AL19" i="30"/>
  <c r="BZ26" i="30"/>
  <c r="BR19" i="30"/>
  <c r="AH19" i="30"/>
  <c r="AI19" i="30" s="1"/>
  <c r="G27" i="53"/>
  <c r="AL25" i="30"/>
  <c r="AH25" i="30"/>
  <c r="AI25" i="30" s="1"/>
  <c r="BY25" i="30"/>
  <c r="BZ25" i="30"/>
  <c r="AH26" i="30"/>
  <c r="AI26" i="30" s="1"/>
  <c r="AH8" i="30"/>
  <c r="AI8" i="30" s="1"/>
  <c r="AL8" i="30"/>
  <c r="BS8" i="30"/>
  <c r="AL6" i="30"/>
  <c r="BQ6" i="30"/>
  <c r="AH6" i="30"/>
  <c r="AI6" i="30" s="1"/>
  <c r="BS6" i="30"/>
  <c r="AM34" i="30"/>
  <c r="AN30" i="30"/>
  <c r="AS30" i="30" s="1"/>
  <c r="AY30" i="30" s="1"/>
  <c r="BY14" i="30"/>
  <c r="BY22" i="30" s="1"/>
  <c r="BY30" i="30" s="1"/>
  <c r="BY37" i="30" s="1"/>
  <c r="N31" i="46"/>
  <c r="N34" i="46"/>
  <c r="F27" i="53" l="1"/>
  <c r="I27" i="53"/>
  <c r="I28" i="53"/>
  <c r="I29" i="53"/>
  <c r="F28" i="53"/>
  <c r="F25" i="53"/>
  <c r="G25" i="53"/>
  <c r="I25" i="53"/>
  <c r="F29" i="53"/>
  <c r="H29" i="53"/>
  <c r="H25" i="53"/>
  <c r="H27" i="53"/>
  <c r="G29" i="53"/>
  <c r="F26" i="53"/>
  <c r="H26" i="53"/>
  <c r="I26" i="53"/>
  <c r="G26" i="53"/>
  <c r="BR11" i="30"/>
  <c r="BQ11" i="30"/>
  <c r="BR4" i="30"/>
  <c r="BS4" i="30"/>
  <c r="BP11" i="30"/>
  <c r="BS18" i="30"/>
  <c r="BQ18" i="30"/>
  <c r="BS5" i="30"/>
  <c r="BR5" i="30"/>
  <c r="BP5" i="30"/>
  <c r="BP4" i="30"/>
  <c r="BQ15" i="30"/>
  <c r="AN20" i="30"/>
  <c r="E15" i="40" s="1"/>
  <c r="AO22" i="30"/>
  <c r="AT22" i="30" s="1"/>
  <c r="AZ22" i="30" s="1"/>
  <c r="I30" i="30"/>
  <c r="G12" i="46"/>
  <c r="G21" i="46"/>
  <c r="G30" i="46"/>
  <c r="H4" i="46"/>
  <c r="H7" i="48"/>
  <c r="O5" i="32"/>
  <c r="N32" i="32" s="1"/>
  <c r="G37" i="46"/>
  <c r="G36" i="46" s="1"/>
  <c r="G38" i="46" s="1"/>
  <c r="G42" i="46" s="1"/>
  <c r="G33" i="46"/>
  <c r="G32" i="46"/>
  <c r="BY28" i="30"/>
  <c r="D27" i="50" s="1"/>
  <c r="D29" i="50" s="1"/>
  <c r="AR57" i="30"/>
  <c r="AR58" i="30" s="1"/>
  <c r="BQ19" i="30"/>
  <c r="AQ57" i="30"/>
  <c r="AQ58" i="30" s="1"/>
  <c r="BP19" i="30"/>
  <c r="BP20" i="30" s="1"/>
  <c r="AN12" i="30"/>
  <c r="E14" i="40" s="1"/>
  <c r="BR6" i="30"/>
  <c r="AT57" i="30"/>
  <c r="BS19" i="30"/>
  <c r="BP34" i="30"/>
  <c r="BQ8" i="30"/>
  <c r="BP8" i="30"/>
  <c r="AN28" i="30"/>
  <c r="E16" i="40" s="1"/>
  <c r="BP6" i="30"/>
  <c r="G26" i="46"/>
  <c r="BZ28" i="30"/>
  <c r="E27" i="50" s="1"/>
  <c r="BR20" i="30"/>
  <c r="BO49" i="30"/>
  <c r="AL28" i="30"/>
  <c r="BW25" i="30"/>
  <c r="AM28" i="30"/>
  <c r="D16" i="40" s="1"/>
  <c r="BX26" i="30"/>
  <c r="C37" i="46"/>
  <c r="BQ34" i="30"/>
  <c r="AL20" i="30"/>
  <c r="C15" i="40" s="1"/>
  <c r="AM20" i="30"/>
  <c r="D15" i="40" s="1"/>
  <c r="AO20" i="30"/>
  <c r="F15" i="40" s="1"/>
  <c r="AO28" i="30"/>
  <c r="AS57" i="30"/>
  <c r="AL12" i="30"/>
  <c r="AO12" i="30"/>
  <c r="AM12" i="30"/>
  <c r="N40" i="46"/>
  <c r="AN37" i="30"/>
  <c r="G12" i="53" l="1"/>
  <c r="G17" i="53" s="1"/>
  <c r="H12" i="53"/>
  <c r="H17" i="53" s="1"/>
  <c r="J28" i="53"/>
  <c r="E12" i="53"/>
  <c r="E17" i="53" s="1"/>
  <c r="F12" i="53"/>
  <c r="F17" i="53" s="1"/>
  <c r="I12" i="53"/>
  <c r="I17" i="53" s="1"/>
  <c r="AU57" i="30"/>
  <c r="AS58" i="30"/>
  <c r="BS12" i="30"/>
  <c r="BQ12" i="30"/>
  <c r="BR12" i="30"/>
  <c r="D8" i="50" s="1"/>
  <c r="D19" i="50" s="1"/>
  <c r="J27" i="53"/>
  <c r="J25" i="53"/>
  <c r="G30" i="53"/>
  <c r="G37" i="53" s="1"/>
  <c r="H30" i="53"/>
  <c r="H37" i="53" s="1"/>
  <c r="BS20" i="30"/>
  <c r="BS49" i="30"/>
  <c r="BS50" i="30" s="1"/>
  <c r="BR49" i="30"/>
  <c r="BR50" i="30" s="1"/>
  <c r="E13" i="48"/>
  <c r="C14" i="40"/>
  <c r="AL50" i="30"/>
  <c r="AL51" i="30" s="1"/>
  <c r="AK47" i="30"/>
  <c r="BQ49" i="30"/>
  <c r="BQ50" i="30" s="1"/>
  <c r="BP49" i="30"/>
  <c r="BP50" i="30" s="1"/>
  <c r="D12" i="48"/>
  <c r="D14" i="40"/>
  <c r="F12" i="48"/>
  <c r="F14" i="40"/>
  <c r="C16" i="40"/>
  <c r="I30" i="53"/>
  <c r="I37" i="53" s="1"/>
  <c r="AO30" i="30"/>
  <c r="AT30" i="30" s="1"/>
  <c r="AZ30" i="30" s="1"/>
  <c r="J26" i="53"/>
  <c r="F30" i="53"/>
  <c r="F37" i="53" s="1"/>
  <c r="J29" i="53"/>
  <c r="BY35" i="30"/>
  <c r="E12" i="48"/>
  <c r="H21" i="46"/>
  <c r="H12" i="46"/>
  <c r="H30" i="46"/>
  <c r="I7" i="48"/>
  <c r="P5" i="32"/>
  <c r="O32" i="32" s="1"/>
  <c r="I4" i="46"/>
  <c r="BQ20" i="30"/>
  <c r="BZ35" i="30"/>
  <c r="D26" i="46"/>
  <c r="C33" i="46"/>
  <c r="BP12" i="30"/>
  <c r="AN35" i="30"/>
  <c r="AS60" i="30" s="1"/>
  <c r="AS61" i="30" s="1"/>
  <c r="E26" i="46"/>
  <c r="F33" i="46"/>
  <c r="E37" i="46"/>
  <c r="E36" i="46" s="1"/>
  <c r="E38" i="46" s="1"/>
  <c r="E42" i="46" s="1"/>
  <c r="D33" i="46"/>
  <c r="F37" i="46"/>
  <c r="F36" i="46" s="1"/>
  <c r="F38" i="46" s="1"/>
  <c r="F42" i="46" s="1"/>
  <c r="C32" i="46"/>
  <c r="D32" i="46"/>
  <c r="E32" i="46"/>
  <c r="F32" i="46"/>
  <c r="D37" i="46"/>
  <c r="D36" i="46" s="1"/>
  <c r="D38" i="46" s="1"/>
  <c r="D42" i="46" s="1"/>
  <c r="E33" i="46"/>
  <c r="G43" i="46"/>
  <c r="G8" i="48"/>
  <c r="F26" i="46"/>
  <c r="E29" i="50"/>
  <c r="C13" i="48"/>
  <c r="D13" i="48"/>
  <c r="BX28" i="30"/>
  <c r="BW28" i="30"/>
  <c r="B27" i="50" s="1"/>
  <c r="C26" i="46"/>
  <c r="F16" i="40"/>
  <c r="C12" i="48"/>
  <c r="AL35" i="30"/>
  <c r="AQ60" i="30" s="1"/>
  <c r="AQ61" i="30" s="1"/>
  <c r="F13" i="48"/>
  <c r="AO35" i="30"/>
  <c r="AT60" i="30" s="1"/>
  <c r="AT61" i="30" s="1"/>
  <c r="AT62" i="30" s="1"/>
  <c r="AT63" i="30" s="1"/>
  <c r="AT55" i="30" s="1"/>
  <c r="G13" i="48"/>
  <c r="G12" i="48"/>
  <c r="AM35" i="30"/>
  <c r="AR60" i="30" s="1"/>
  <c r="AR61" i="30" s="1"/>
  <c r="AS62" i="30" l="1"/>
  <c r="AS63" i="30" s="1"/>
  <c r="AS55" i="30" s="1"/>
  <c r="J12" i="53"/>
  <c r="AQ62" i="30"/>
  <c r="AQ63" i="30" s="1"/>
  <c r="AQ55" i="30" s="1"/>
  <c r="AR62" i="30"/>
  <c r="AR63" i="30" s="1"/>
  <c r="AR55" i="30" s="1"/>
  <c r="AU60" i="30"/>
  <c r="AU61" i="30" s="1"/>
  <c r="BR35" i="30"/>
  <c r="E8" i="50"/>
  <c r="E19" i="50" s="1"/>
  <c r="BQ35" i="30"/>
  <c r="BS35" i="30"/>
  <c r="D15" i="50"/>
  <c r="D18" i="50" s="1"/>
  <c r="H38" i="53" s="1"/>
  <c r="BP35" i="30"/>
  <c r="B8" i="50"/>
  <c r="B19" i="50" s="1"/>
  <c r="C8" i="50"/>
  <c r="C19" i="50" s="1"/>
  <c r="E43" i="46"/>
  <c r="D43" i="46"/>
  <c r="AO37" i="30"/>
  <c r="J37" i="53"/>
  <c r="J30" i="53"/>
  <c r="J7" i="48"/>
  <c r="Q5" i="32"/>
  <c r="P32" i="32" s="1"/>
  <c r="J4" i="46"/>
  <c r="I12" i="46"/>
  <c r="I21" i="46"/>
  <c r="I30" i="46"/>
  <c r="H33" i="46"/>
  <c r="H32" i="46"/>
  <c r="F43" i="46"/>
  <c r="H37" i="46"/>
  <c r="H13" i="48"/>
  <c r="H12" i="48"/>
  <c r="H26" i="46"/>
  <c r="BW35" i="30"/>
  <c r="BX35" i="30"/>
  <c r="C27" i="50"/>
  <c r="C29" i="50" s="1"/>
  <c r="C36" i="46"/>
  <c r="S12" i="53" l="1"/>
  <c r="S17" i="53" s="1"/>
  <c r="J17" i="53"/>
  <c r="AU55" i="30"/>
  <c r="G54" i="30" s="1"/>
  <c r="E15" i="50"/>
  <c r="E18" i="50" s="1"/>
  <c r="D20" i="50"/>
  <c r="D21" i="50" s="1"/>
  <c r="D23" i="50" s="1"/>
  <c r="E7" i="41" s="1"/>
  <c r="I38" i="53"/>
  <c r="I41" i="53" s="1"/>
  <c r="I42" i="53" s="1"/>
  <c r="C15" i="50"/>
  <c r="C18" i="50" s="1"/>
  <c r="G38" i="53" s="1"/>
  <c r="F8" i="50"/>
  <c r="D13" i="54" s="1"/>
  <c r="H41" i="53"/>
  <c r="H42" i="53" s="1"/>
  <c r="B15" i="50"/>
  <c r="B18" i="50" s="1"/>
  <c r="B29" i="50"/>
  <c r="F27" i="50"/>
  <c r="R5" i="32"/>
  <c r="Q32" i="32" s="1"/>
  <c r="K7" i="48"/>
  <c r="K4" i="46"/>
  <c r="J21" i="46"/>
  <c r="J30" i="46"/>
  <c r="J12" i="46"/>
  <c r="H8" i="48"/>
  <c r="H36" i="46"/>
  <c r="H38" i="46" s="1"/>
  <c r="H42" i="46" s="1"/>
  <c r="H43" i="46" s="1"/>
  <c r="I12" i="48"/>
  <c r="I13" i="48"/>
  <c r="C38" i="46"/>
  <c r="C42" i="46" s="1"/>
  <c r="C43" i="46" s="1"/>
  <c r="G41" i="53" l="1"/>
  <c r="G42" i="53" s="1"/>
  <c r="I13" i="54"/>
  <c r="K13" i="54" s="1"/>
  <c r="M13" i="54" s="1"/>
  <c r="D35" i="50"/>
  <c r="E20" i="50"/>
  <c r="E21" i="50" s="1"/>
  <c r="E35" i="50" s="1"/>
  <c r="C20" i="50"/>
  <c r="C21" i="50" s="1"/>
  <c r="C23" i="50" s="1"/>
  <c r="E9" i="41"/>
  <c r="BK5" i="30" s="1"/>
  <c r="H49" i="30"/>
  <c r="AY55" i="30" s="1"/>
  <c r="F18" i="50"/>
  <c r="E23" i="46"/>
  <c r="G23" i="46"/>
  <c r="S5" i="32"/>
  <c r="R32" i="32" s="1"/>
  <c r="L4" i="46"/>
  <c r="L7" i="48"/>
  <c r="K21" i="46"/>
  <c r="K30" i="46"/>
  <c r="K12" i="46"/>
  <c r="I33" i="46"/>
  <c r="I32" i="46"/>
  <c r="I37" i="46"/>
  <c r="J26" i="46"/>
  <c r="BT18" i="30"/>
  <c r="BT33" i="30"/>
  <c r="K27" i="30"/>
  <c r="BT7" i="30"/>
  <c r="K4" i="30"/>
  <c r="D7" i="60" s="1"/>
  <c r="D8" i="60" s="1"/>
  <c r="BT9" i="30"/>
  <c r="K11" i="30"/>
  <c r="G7" i="60" s="1"/>
  <c r="G8" i="60" s="1"/>
  <c r="BT16" i="30"/>
  <c r="BT32" i="30"/>
  <c r="BT10" i="30"/>
  <c r="K23" i="30"/>
  <c r="BT5" i="30"/>
  <c r="K24" i="30"/>
  <c r="K26" i="30"/>
  <c r="K25" i="30"/>
  <c r="BT6" i="30"/>
  <c r="J12" i="48"/>
  <c r="J13" i="48"/>
  <c r="I26" i="46"/>
  <c r="D7" i="41" l="1"/>
  <c r="G49" i="30" s="1"/>
  <c r="AY32" i="30"/>
  <c r="AY31" i="30"/>
  <c r="AY17" i="30"/>
  <c r="AY19" i="30"/>
  <c r="AY5" i="30"/>
  <c r="AY7" i="30"/>
  <c r="AY9" i="30"/>
  <c r="AY11" i="30"/>
  <c r="AY18" i="30"/>
  <c r="AY8" i="30"/>
  <c r="AY4" i="30"/>
  <c r="AY33" i="30"/>
  <c r="AY16" i="30"/>
  <c r="AY6" i="30"/>
  <c r="AY15" i="30"/>
  <c r="AY10" i="30"/>
  <c r="E23" i="50"/>
  <c r="F7" i="41" s="1"/>
  <c r="C35" i="50"/>
  <c r="B20" i="50"/>
  <c r="B21" i="50" s="1"/>
  <c r="F38" i="53"/>
  <c r="E8" i="48"/>
  <c r="E10" i="40"/>
  <c r="F19" i="50"/>
  <c r="L12" i="46"/>
  <c r="L21" i="46"/>
  <c r="L30" i="46"/>
  <c r="J32" i="46"/>
  <c r="M32" i="46" s="1"/>
  <c r="J33" i="46"/>
  <c r="M33" i="46" s="1"/>
  <c r="J37" i="46"/>
  <c r="M37" i="46" s="1"/>
  <c r="K31" i="30"/>
  <c r="K8" i="30"/>
  <c r="BT8" i="30"/>
  <c r="K19" i="30"/>
  <c r="BT19" i="30"/>
  <c r="K17" i="30"/>
  <c r="BT17" i="30"/>
  <c r="J8" i="48"/>
  <c r="BT11" i="30"/>
  <c r="BT15" i="30"/>
  <c r="K13" i="48"/>
  <c r="I36" i="46"/>
  <c r="K12" i="48"/>
  <c r="CA25" i="30"/>
  <c r="AP28" i="30"/>
  <c r="K32" i="30"/>
  <c r="AP12" i="30"/>
  <c r="CA27" i="30"/>
  <c r="K18" i="30"/>
  <c r="M26" i="46"/>
  <c r="K6" i="30"/>
  <c r="CA26" i="30"/>
  <c r="K5" i="30"/>
  <c r="K16" i="30"/>
  <c r="K9" i="30"/>
  <c r="K15" i="30"/>
  <c r="K33" i="30"/>
  <c r="AP34" i="30"/>
  <c r="CA24" i="30"/>
  <c r="K28" i="30"/>
  <c r="K7" i="30"/>
  <c r="K10" i="30"/>
  <c r="F7" i="60" s="1"/>
  <c r="F8" i="60" s="1"/>
  <c r="E7" i="60" l="1"/>
  <c r="E8" i="60" s="1"/>
  <c r="F41" i="53"/>
  <c r="T12" i="53"/>
  <c r="T17" i="53" s="1"/>
  <c r="D23" i="46"/>
  <c r="D9" i="41"/>
  <c r="BJ5" i="30" s="1"/>
  <c r="AX55" i="30"/>
  <c r="D8" i="48"/>
  <c r="D10" i="40"/>
  <c r="I49" i="30"/>
  <c r="F9" i="41"/>
  <c r="BL5" i="30" s="1"/>
  <c r="F23" i="46"/>
  <c r="B35" i="50"/>
  <c r="F35" i="50" s="1"/>
  <c r="B23" i="50"/>
  <c r="C7" i="41" s="1"/>
  <c r="F20" i="50"/>
  <c r="F21" i="50"/>
  <c r="J38" i="53"/>
  <c r="I23" i="46"/>
  <c r="J23" i="46"/>
  <c r="J36" i="46"/>
  <c r="J38" i="46" s="1"/>
  <c r="J42" i="46" s="1"/>
  <c r="J43" i="46" s="1"/>
  <c r="K32" i="46"/>
  <c r="K33" i="46"/>
  <c r="BT12" i="30"/>
  <c r="BT31" i="30"/>
  <c r="K26" i="46"/>
  <c r="BT4" i="30"/>
  <c r="K20" i="30"/>
  <c r="K37" i="46"/>
  <c r="K12" i="30"/>
  <c r="K34" i="30"/>
  <c r="H7" i="60" s="1"/>
  <c r="H8" i="60" s="1"/>
  <c r="CA23" i="30"/>
  <c r="G15" i="40"/>
  <c r="L13" i="48"/>
  <c r="M13" i="48" s="1"/>
  <c r="AP20" i="30"/>
  <c r="G14" i="40"/>
  <c r="L12" i="48"/>
  <c r="M12" i="48" s="1"/>
  <c r="G16" i="40"/>
  <c r="I8" i="48"/>
  <c r="I38" i="46"/>
  <c r="I42" i="46" s="1"/>
  <c r="I43" i="46" s="1"/>
  <c r="C13" i="61" l="1"/>
  <c r="C43" i="61" s="1"/>
  <c r="X12" i="53"/>
  <c r="X17" i="53" s="1"/>
  <c r="W12" i="53"/>
  <c r="W17" i="53" s="1"/>
  <c r="C9" i="41"/>
  <c r="BI5" i="30" s="1"/>
  <c r="AX8" i="30"/>
  <c r="AX10" i="30"/>
  <c r="AX4" i="30"/>
  <c r="AX31" i="30"/>
  <c r="AX19" i="30"/>
  <c r="AX11" i="30"/>
  <c r="AX7" i="30"/>
  <c r="AX32" i="30"/>
  <c r="AX16" i="30"/>
  <c r="AX17" i="30"/>
  <c r="AX5" i="30"/>
  <c r="AX33" i="30"/>
  <c r="AX9" i="30"/>
  <c r="AX18" i="30"/>
  <c r="AX15" i="30"/>
  <c r="AX6" i="30"/>
  <c r="AZ55" i="30"/>
  <c r="F8" i="48"/>
  <c r="F10" i="40"/>
  <c r="F23" i="50"/>
  <c r="BT34" i="30"/>
  <c r="BT49" i="30"/>
  <c r="F42" i="53"/>
  <c r="J42" i="53" s="1"/>
  <c r="J41" i="53"/>
  <c r="CA28" i="30"/>
  <c r="CA35" i="30" s="1"/>
  <c r="M36" i="46"/>
  <c r="M38" i="46" s="1"/>
  <c r="M42" i="46" s="1"/>
  <c r="L33" i="46"/>
  <c r="N33" i="46" s="1"/>
  <c r="L32" i="46"/>
  <c r="N32" i="46" s="1"/>
  <c r="L37" i="46"/>
  <c r="N37" i="46" s="1"/>
  <c r="L26" i="46"/>
  <c r="N26" i="46" s="1"/>
  <c r="K35" i="30"/>
  <c r="L8" i="48"/>
  <c r="BT20" i="30"/>
  <c r="K36" i="46"/>
  <c r="AP35" i="30"/>
  <c r="I13" i="61" l="1"/>
  <c r="C23" i="46"/>
  <c r="F49" i="30"/>
  <c r="C8" i="48" s="1"/>
  <c r="BT35" i="30"/>
  <c r="AZ31" i="30"/>
  <c r="AZ17" i="30"/>
  <c r="AZ19" i="30"/>
  <c r="AZ5" i="30"/>
  <c r="AZ7" i="30"/>
  <c r="AZ11" i="30"/>
  <c r="AZ32" i="30"/>
  <c r="AZ9" i="30"/>
  <c r="AZ33" i="30"/>
  <c r="AZ16" i="30"/>
  <c r="AZ18" i="30"/>
  <c r="AZ15" i="30"/>
  <c r="AZ6" i="30"/>
  <c r="AZ8" i="30"/>
  <c r="AZ10" i="30"/>
  <c r="AZ4" i="30"/>
  <c r="L23" i="46"/>
  <c r="L36" i="46"/>
  <c r="L38" i="46" s="1"/>
  <c r="L42" i="46" s="1"/>
  <c r="L43" i="46" s="1"/>
  <c r="K38" i="46"/>
  <c r="K42" i="46" s="1"/>
  <c r="K43" i="46" s="1"/>
  <c r="N36" i="46"/>
  <c r="N38" i="46" s="1"/>
  <c r="N42" i="46" s="1"/>
  <c r="N43" i="46" s="1"/>
  <c r="K8" i="48"/>
  <c r="F29" i="50"/>
  <c r="J13" i="61" l="1"/>
  <c r="J43" i="61" s="1"/>
  <c r="I43" i="61"/>
  <c r="S7" i="60"/>
  <c r="S8" i="60" s="1"/>
  <c r="AW55" i="30"/>
  <c r="AW33" i="30" s="1"/>
  <c r="C10" i="40"/>
  <c r="G10" i="40" s="1"/>
  <c r="M49" i="30"/>
  <c r="G55" i="30" s="1"/>
  <c r="AR25" i="30" s="1"/>
  <c r="M8" i="48"/>
  <c r="F15" i="50"/>
  <c r="L13" i="61" l="1"/>
  <c r="L43" i="61" s="1"/>
  <c r="Q13" i="61"/>
  <c r="AS4" i="30"/>
  <c r="AS25" i="30"/>
  <c r="AR6" i="30"/>
  <c r="AQ33" i="30"/>
  <c r="AS32" i="30"/>
  <c r="AR11" i="30"/>
  <c r="AS31" i="30"/>
  <c r="AT31" i="30"/>
  <c r="AT32" i="30"/>
  <c r="AQ31" i="30"/>
  <c r="AT26" i="30"/>
  <c r="AQ6" i="30"/>
  <c r="AS8" i="30"/>
  <c r="AQ7" i="30"/>
  <c r="AT33" i="30"/>
  <c r="AQ18" i="30"/>
  <c r="AR26" i="30"/>
  <c r="AT4" i="30"/>
  <c r="AT15" i="30"/>
  <c r="AQ19" i="30"/>
  <c r="AT23" i="30"/>
  <c r="AQ27" i="30"/>
  <c r="AR33" i="30"/>
  <c r="AS17" i="30"/>
  <c r="AS16" i="30"/>
  <c r="AR23" i="30"/>
  <c r="AS24" i="30"/>
  <c r="AR31" i="30"/>
  <c r="AQ26" i="30"/>
  <c r="AS33" i="30"/>
  <c r="AS9" i="30"/>
  <c r="AR9" i="30"/>
  <c r="AT9" i="30"/>
  <c r="AR18" i="30"/>
  <c r="AQ15" i="30"/>
  <c r="AQ4" i="30"/>
  <c r="AQ32" i="30"/>
  <c r="AT10" i="30"/>
  <c r="AR24" i="30"/>
  <c r="AT5" i="30"/>
  <c r="AR27" i="30"/>
  <c r="AS18" i="30"/>
  <c r="AT16" i="30"/>
  <c r="AQ16" i="30"/>
  <c r="AT6" i="30"/>
  <c r="AT17" i="30"/>
  <c r="AQ11" i="30"/>
  <c r="AR17" i="30"/>
  <c r="AQ23" i="30"/>
  <c r="AT18" i="30"/>
  <c r="AR19" i="30"/>
  <c r="AQ24" i="30"/>
  <c r="AS7" i="30"/>
  <c r="AR8" i="30"/>
  <c r="AT25" i="30"/>
  <c r="AQ9" i="30"/>
  <c r="AR10" i="30"/>
  <c r="AR32" i="30"/>
  <c r="AT27" i="30"/>
  <c r="AS23" i="30"/>
  <c r="AS10" i="30"/>
  <c r="AS19" i="30"/>
  <c r="AQ10" i="30"/>
  <c r="AS6" i="30"/>
  <c r="AQ5" i="30"/>
  <c r="AT7" i="30"/>
  <c r="AQ8" i="30"/>
  <c r="AR7" i="30"/>
  <c r="AS11" i="30"/>
  <c r="AS5" i="30"/>
  <c r="AS26" i="30"/>
  <c r="AR15" i="30"/>
  <c r="AS27" i="30"/>
  <c r="AQ17" i="30"/>
  <c r="AT11" i="30"/>
  <c r="AS15" i="30"/>
  <c r="AQ25" i="30"/>
  <c r="AT19" i="30"/>
  <c r="AR16" i="30"/>
  <c r="AR4" i="30"/>
  <c r="AW9" i="30"/>
  <c r="AW11" i="30"/>
  <c r="AW8" i="30"/>
  <c r="AW7" i="30"/>
  <c r="AW15" i="30"/>
  <c r="AW6" i="30"/>
  <c r="AW17" i="30"/>
  <c r="AR5" i="30"/>
  <c r="AT8" i="30"/>
  <c r="AT24" i="30"/>
  <c r="AW10" i="30"/>
  <c r="AW31" i="30"/>
  <c r="AW19" i="30"/>
  <c r="AW18" i="30"/>
  <c r="AW5" i="30"/>
  <c r="AW16" i="30"/>
  <c r="AW32" i="30"/>
  <c r="AW4" i="30"/>
  <c r="H23" i="46"/>
  <c r="M23" i="46" s="1"/>
  <c r="D15" i="54"/>
  <c r="I15" i="54" l="1"/>
  <c r="AZ34" i="30"/>
  <c r="AZ20" i="30"/>
  <c r="AW34" i="30"/>
  <c r="M24" i="48"/>
  <c r="AX20" i="30"/>
  <c r="AY34" i="30"/>
  <c r="AZ12" i="30"/>
  <c r="AX34" i="30"/>
  <c r="AY12" i="30"/>
  <c r="AX12" i="30"/>
  <c r="AW12" i="30"/>
  <c r="BA12" i="30" l="1"/>
  <c r="K15" i="54"/>
  <c r="N13" i="54"/>
  <c r="N15" i="54" s="1"/>
  <c r="M15" i="54"/>
  <c r="AY20" i="30"/>
  <c r="AY35" i="30" s="1"/>
  <c r="E17" i="40" s="1"/>
  <c r="G7" i="41"/>
  <c r="BD19" i="30"/>
  <c r="BC5" i="30"/>
  <c r="BD16" i="30"/>
  <c r="BF5" i="30"/>
  <c r="BD24" i="30"/>
  <c r="BF18" i="30"/>
  <c r="BD27" i="30"/>
  <c r="BE24" i="30"/>
  <c r="BE9" i="30"/>
  <c r="BF6" i="30"/>
  <c r="BC33" i="30"/>
  <c r="BF26" i="30"/>
  <c r="BF19" i="30"/>
  <c r="BD17" i="30"/>
  <c r="BE17" i="30"/>
  <c r="BE19" i="30"/>
  <c r="BD11" i="30"/>
  <c r="BF32" i="30"/>
  <c r="BC19" i="30"/>
  <c r="BC32" i="30"/>
  <c r="BD15" i="30"/>
  <c r="BC8" i="30"/>
  <c r="BC6" i="30"/>
  <c r="BC27" i="30"/>
  <c r="BF11" i="30"/>
  <c r="BF15" i="30"/>
  <c r="BE4" i="30"/>
  <c r="BE26" i="30"/>
  <c r="BF10" i="30"/>
  <c r="BE5" i="30"/>
  <c r="BC26" i="30"/>
  <c r="BD5" i="30"/>
  <c r="BC18" i="30"/>
  <c r="BE23" i="30"/>
  <c r="BE25" i="30"/>
  <c r="BC10" i="30"/>
  <c r="BD7" i="30"/>
  <c r="BD31" i="30"/>
  <c r="BE10" i="30"/>
  <c r="BD4" i="30"/>
  <c r="BD26" i="30"/>
  <c r="BC4" i="30"/>
  <c r="BC25" i="30"/>
  <c r="BC17" i="30"/>
  <c r="BD8" i="30"/>
  <c r="BC24" i="30"/>
  <c r="BD9" i="30"/>
  <c r="BF33" i="30"/>
  <c r="BF7" i="30"/>
  <c r="BF31" i="30"/>
  <c r="BF27" i="30"/>
  <c r="BE33" i="30"/>
  <c r="BD10" i="30"/>
  <c r="BF23" i="30"/>
  <c r="BE11" i="30"/>
  <c r="BE15" i="30"/>
  <c r="BC7" i="30"/>
  <c r="BD25" i="30"/>
  <c r="BE8" i="30"/>
  <c r="BE32" i="30"/>
  <c r="BE27" i="30"/>
  <c r="BC23" i="30"/>
  <c r="BE6" i="30"/>
  <c r="BE18" i="30"/>
  <c r="BD23" i="30"/>
  <c r="M23" i="48"/>
  <c r="BF25" i="30"/>
  <c r="BC15" i="30"/>
  <c r="BF4" i="30"/>
  <c r="BD6" i="30"/>
  <c r="BF17" i="30"/>
  <c r="BD32" i="30"/>
  <c r="BE16" i="30"/>
  <c r="BF9" i="30"/>
  <c r="BE7" i="30"/>
  <c r="BF16" i="30"/>
  <c r="BD33" i="30"/>
  <c r="BC11" i="30"/>
  <c r="BF8" i="30"/>
  <c r="BE31" i="30"/>
  <c r="BC31" i="30"/>
  <c r="BC9" i="30"/>
  <c r="BF24" i="30"/>
  <c r="AZ35" i="30"/>
  <c r="F17" i="40" s="1"/>
  <c r="AW20" i="30"/>
  <c r="AX35" i="30"/>
  <c r="D17" i="40" s="1"/>
  <c r="AW35" i="30" l="1"/>
  <c r="C17" i="40" s="1"/>
  <c r="G17" i="40" s="1"/>
  <c r="BA20" i="30"/>
  <c r="K23" i="46"/>
  <c r="N23" i="46" s="1"/>
  <c r="AR12" i="30"/>
  <c r="AQ28" i="30"/>
  <c r="AR20" i="30"/>
  <c r="L18" i="30"/>
  <c r="M18" i="30" s="1"/>
  <c r="G9" i="41"/>
  <c r="L26" i="30"/>
  <c r="M26" i="30" s="1"/>
  <c r="L25" i="30"/>
  <c r="M25" i="30" s="1"/>
  <c r="BE28" i="30"/>
  <c r="AT28" i="30"/>
  <c r="AS20" i="30"/>
  <c r="BE20" i="30"/>
  <c r="AT20" i="30"/>
  <c r="BF28" i="30"/>
  <c r="L8" i="30"/>
  <c r="M8" i="30" s="1"/>
  <c r="AQ34" i="30"/>
  <c r="BD12" i="30"/>
  <c r="BD18" i="30"/>
  <c r="BD20" i="30" s="1"/>
  <c r="L15" i="30"/>
  <c r="M15" i="30" s="1"/>
  <c r="AS12" i="30"/>
  <c r="BD34" i="30"/>
  <c r="BE12" i="30"/>
  <c r="AR34" i="30"/>
  <c r="BE34" i="30"/>
  <c r="L23" i="30"/>
  <c r="M23" i="30" s="1"/>
  <c r="AQ20" i="30"/>
  <c r="BF12" i="30"/>
  <c r="L6" i="30"/>
  <c r="M6" i="30" s="1"/>
  <c r="L33" i="30"/>
  <c r="M33" i="30" s="1"/>
  <c r="L5" i="30"/>
  <c r="M5" i="30" s="1"/>
  <c r="L24" i="30"/>
  <c r="M24" i="30" s="1"/>
  <c r="L9" i="30"/>
  <c r="M9" i="30" s="1"/>
  <c r="BC16" i="30"/>
  <c r="BC20" i="30" s="1"/>
  <c r="L10" i="30"/>
  <c r="M10" i="30" s="1"/>
  <c r="L31" i="30"/>
  <c r="M31" i="30" s="1"/>
  <c r="AR28" i="30"/>
  <c r="L7" i="30"/>
  <c r="M7" i="30" s="1"/>
  <c r="AQ12" i="30"/>
  <c r="AS28" i="30"/>
  <c r="BF20" i="30"/>
  <c r="L19" i="30"/>
  <c r="M19" i="30" s="1"/>
  <c r="L16" i="30"/>
  <c r="M16" i="30" s="1"/>
  <c r="BF34" i="30"/>
  <c r="L17" i="30"/>
  <c r="M17" i="30" s="1"/>
  <c r="AS34" i="30"/>
  <c r="AT34" i="30"/>
  <c r="L11" i="30"/>
  <c r="M11" i="30" s="1"/>
  <c r="AT12" i="30"/>
  <c r="BD28" i="30"/>
  <c r="L4" i="30"/>
  <c r="L27" i="30"/>
  <c r="M27" i="30" s="1"/>
  <c r="L32" i="30"/>
  <c r="M32" i="30" s="1"/>
  <c r="BC34" i="30"/>
  <c r="BC12" i="30"/>
  <c r="BC28" i="30"/>
  <c r="BA35" i="30" l="1"/>
  <c r="M4" i="30"/>
  <c r="M12" i="30" s="1"/>
  <c r="L12" i="30"/>
  <c r="M31" i="40"/>
  <c r="AU12" i="30"/>
  <c r="AU20" i="30"/>
  <c r="AU28" i="30"/>
  <c r="AU34" i="30"/>
  <c r="BM5" i="30"/>
  <c r="H8" i="41"/>
  <c r="H9" i="41"/>
  <c r="H7" i="41"/>
  <c r="J14" i="48"/>
  <c r="BE35" i="30"/>
  <c r="BK6" i="30" s="1"/>
  <c r="AR35" i="30"/>
  <c r="AQ35" i="30"/>
  <c r="AL49" i="30" s="1"/>
  <c r="AL52" i="30" s="1"/>
  <c r="M20" i="30"/>
  <c r="BD35" i="30"/>
  <c r="D18" i="40" s="1"/>
  <c r="D23" i="40" s="1"/>
  <c r="AS35" i="30"/>
  <c r="L34" i="30"/>
  <c r="M34" i="30"/>
  <c r="L20" i="30"/>
  <c r="L14" i="48"/>
  <c r="AT35" i="30"/>
  <c r="BL4" i="30" s="1"/>
  <c r="BF35" i="30"/>
  <c r="BL6" i="30" s="1"/>
  <c r="M28" i="30"/>
  <c r="L28" i="30"/>
  <c r="G14" i="48"/>
  <c r="BC35" i="30"/>
  <c r="BI6" i="30" s="1"/>
  <c r="G29" i="40" l="1"/>
  <c r="AU35" i="30"/>
  <c r="BM4" i="30" s="1"/>
  <c r="BK4" i="30"/>
  <c r="H51" i="30" s="1"/>
  <c r="BI4" i="30"/>
  <c r="F51" i="30" s="1"/>
  <c r="BJ4" i="30"/>
  <c r="G51" i="30" s="1"/>
  <c r="J18" i="48"/>
  <c r="I14" i="48"/>
  <c r="H14" i="48"/>
  <c r="E14" i="48"/>
  <c r="E18" i="48" s="1"/>
  <c r="H22" i="46"/>
  <c r="H27" i="46" s="1"/>
  <c r="H5" i="46"/>
  <c r="H9" i="46" s="1"/>
  <c r="H15" i="46" s="1"/>
  <c r="H18" i="46" s="1"/>
  <c r="F14" i="48"/>
  <c r="F18" i="48" s="1"/>
  <c r="F18" i="40"/>
  <c r="F5" i="46" s="1"/>
  <c r="F9" i="46" s="1"/>
  <c r="E18" i="40"/>
  <c r="E23" i="40" s="1"/>
  <c r="K14" i="48"/>
  <c r="K5" i="46"/>
  <c r="K9" i="46" s="1"/>
  <c r="L35" i="30"/>
  <c r="I50" i="30"/>
  <c r="F22" i="46" s="1"/>
  <c r="F27" i="46" s="1"/>
  <c r="I51" i="30"/>
  <c r="L5" i="46"/>
  <c r="L9" i="46" s="1"/>
  <c r="D14" i="48"/>
  <c r="BJ6" i="30"/>
  <c r="G50" i="30" s="1"/>
  <c r="H50" i="30"/>
  <c r="E12" i="40" s="1"/>
  <c r="G10" i="48"/>
  <c r="M35" i="30"/>
  <c r="D5" i="46"/>
  <c r="D9" i="46" s="1"/>
  <c r="D15" i="46" s="1"/>
  <c r="J5" i="46"/>
  <c r="J9" i="46" s="1"/>
  <c r="J15" i="46" s="1"/>
  <c r="J18" i="46" s="1"/>
  <c r="J22" i="46"/>
  <c r="J27" i="46" s="1"/>
  <c r="J10" i="48"/>
  <c r="I22" i="46"/>
  <c r="I10" i="48"/>
  <c r="I18" i="48"/>
  <c r="C14" i="48"/>
  <c r="C18" i="40"/>
  <c r="G18" i="48"/>
  <c r="K22" i="46"/>
  <c r="K27" i="46" s="1"/>
  <c r="K10" i="48"/>
  <c r="K11" i="48" s="1"/>
  <c r="L18" i="48"/>
  <c r="G5" i="46"/>
  <c r="G9" i="46" s="1"/>
  <c r="G15" i="46" s="1"/>
  <c r="G18" i="46" s="1"/>
  <c r="F23" i="40" l="1"/>
  <c r="I5" i="46"/>
  <c r="I9" i="46" s="1"/>
  <c r="K18" i="48"/>
  <c r="K19" i="48" s="1"/>
  <c r="H18" i="48"/>
  <c r="G22" i="46"/>
  <c r="G27" i="46" s="1"/>
  <c r="G28" i="46" s="1"/>
  <c r="E5" i="46"/>
  <c r="E9" i="46" s="1"/>
  <c r="E15" i="46" s="1"/>
  <c r="E18" i="46" s="1"/>
  <c r="D30" i="50"/>
  <c r="D31" i="50" s="1"/>
  <c r="D34" i="50" s="1"/>
  <c r="D36" i="50" s="1"/>
  <c r="E30" i="50"/>
  <c r="E31" i="50" s="1"/>
  <c r="E34" i="50" s="1"/>
  <c r="E36" i="50" s="1"/>
  <c r="H28" i="46"/>
  <c r="I52" i="30"/>
  <c r="F12" i="40"/>
  <c r="F26" i="40" s="1"/>
  <c r="F10" i="48"/>
  <c r="F21" i="48" s="1"/>
  <c r="E22" i="46"/>
  <c r="E27" i="46" s="1"/>
  <c r="E10" i="48"/>
  <c r="E11" i="48" s="1"/>
  <c r="E19" i="48" s="1"/>
  <c r="H10" i="48"/>
  <c r="H11" i="48" s="1"/>
  <c r="M51" i="30"/>
  <c r="H52" i="30"/>
  <c r="L22" i="46"/>
  <c r="L27" i="46" s="1"/>
  <c r="L28" i="46" s="1"/>
  <c r="L10" i="48"/>
  <c r="L11" i="48" s="1"/>
  <c r="L19" i="48" s="1"/>
  <c r="D10" i="48"/>
  <c r="D12" i="40"/>
  <c r="D22" i="46"/>
  <c r="D27" i="46" s="1"/>
  <c r="D28" i="46" s="1"/>
  <c r="G52" i="30"/>
  <c r="D18" i="48"/>
  <c r="C30" i="50"/>
  <c r="C31" i="50" s="1"/>
  <c r="C34" i="50" s="1"/>
  <c r="C36" i="50" s="1"/>
  <c r="BM6" i="30"/>
  <c r="J28" i="46"/>
  <c r="J21" i="48"/>
  <c r="J11" i="48"/>
  <c r="J19" i="48" s="1"/>
  <c r="F50" i="30"/>
  <c r="C5" i="46"/>
  <c r="C23" i="40"/>
  <c r="G18" i="40"/>
  <c r="M30" i="40" s="1"/>
  <c r="E26" i="40"/>
  <c r="E13" i="40"/>
  <c r="E24" i="40" s="1"/>
  <c r="C18" i="48"/>
  <c r="B30" i="50"/>
  <c r="M14" i="48"/>
  <c r="L15" i="46"/>
  <c r="L18" i="46" s="1"/>
  <c r="I21" i="48"/>
  <c r="I11" i="48"/>
  <c r="I19" i="48" s="1"/>
  <c r="G21" i="48"/>
  <c r="G11" i="48"/>
  <c r="G19" i="48" s="1"/>
  <c r="K15" i="46"/>
  <c r="K18" i="46" s="1"/>
  <c r="K28" i="46"/>
  <c r="K21" i="48"/>
  <c r="M22" i="46"/>
  <c r="M27" i="46" s="1"/>
  <c r="I27" i="46"/>
  <c r="F15" i="46"/>
  <c r="F18" i="46" s="1"/>
  <c r="F28" i="46"/>
  <c r="D18" i="46"/>
  <c r="M5" i="46" l="1"/>
  <c r="M9" i="46" s="1"/>
  <c r="H19" i="48"/>
  <c r="F30" i="50"/>
  <c r="F11" i="48"/>
  <c r="F19" i="48" s="1"/>
  <c r="G23" i="40"/>
  <c r="E28" i="46"/>
  <c r="E21" i="48"/>
  <c r="F13" i="40"/>
  <c r="F24" i="40" s="1"/>
  <c r="M18" i="48"/>
  <c r="H21" i="48"/>
  <c r="L21" i="48"/>
  <c r="D13" i="40"/>
  <c r="D24" i="40" s="1"/>
  <c r="D26" i="40"/>
  <c r="D11" i="48"/>
  <c r="D19" i="48" s="1"/>
  <c r="D21" i="48"/>
  <c r="I15" i="46"/>
  <c r="I28" i="46"/>
  <c r="B31" i="50"/>
  <c r="F31" i="50" s="1"/>
  <c r="C9" i="46"/>
  <c r="C15" i="46" s="1"/>
  <c r="N5" i="46"/>
  <c r="N9" i="46" s="1"/>
  <c r="C10" i="48"/>
  <c r="F52" i="30"/>
  <c r="C22" i="46"/>
  <c r="C12" i="40"/>
  <c r="M50" i="30"/>
  <c r="M52" i="30" l="1"/>
  <c r="C21" i="48"/>
  <c r="C11" i="48"/>
  <c r="M10" i="48"/>
  <c r="B34" i="50"/>
  <c r="F34" i="50" s="1"/>
  <c r="C26" i="40"/>
  <c r="G12" i="40"/>
  <c r="M32" i="40" s="1"/>
  <c r="C13" i="40"/>
  <c r="C27" i="46"/>
  <c r="C28" i="46" s="1"/>
  <c r="N22" i="46"/>
  <c r="C18" i="46"/>
  <c r="N15" i="46"/>
  <c r="N18" i="46" s="1"/>
  <c r="M15" i="46"/>
  <c r="M18" i="46" s="1"/>
  <c r="I18" i="46"/>
  <c r="C19" i="48" l="1"/>
  <c r="M11" i="48"/>
  <c r="M19" i="48" s="1"/>
  <c r="C24" i="40"/>
  <c r="G13" i="40"/>
  <c r="G24" i="40" s="1"/>
  <c r="B36" i="50"/>
  <c r="F36" i="50" s="1"/>
  <c r="P25" i="46"/>
  <c r="P22" i="46"/>
  <c r="N27" i="46"/>
  <c r="O22" i="46" s="1"/>
  <c r="G26" i="40"/>
  <c r="M21" i="48"/>
  <c r="M25" i="48"/>
  <c r="G57" i="30" l="1"/>
  <c r="G59" i="30" s="1"/>
  <c r="G28" i="40"/>
  <c r="G34" i="50"/>
  <c r="O25" i="46"/>
  <c r="O24" i="46"/>
  <c r="O26" i="46"/>
  <c r="O27" i="46"/>
  <c r="O23" i="46"/>
  <c r="N28" i="46"/>
  <c r="G36" i="50"/>
  <c r="G35" i="50"/>
  <c r="I7" i="60"/>
  <c r="T7" i="60" l="1"/>
  <c r="I8" i="60"/>
  <c r="U7" i="60" l="1"/>
  <c r="U8" i="60" s="1"/>
  <c r="T8" i="6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J21" authorId="0" shapeId="0" xr:uid="{00000000-0006-0000-0000-000001000000}">
      <text>
        <r>
          <rPr>
            <b/>
            <sz val="9"/>
            <color indexed="81"/>
            <rFont val="Tahoma"/>
            <family val="2"/>
          </rPr>
          <t>Husk å sette riktig datointervall!</t>
        </r>
      </text>
    </comment>
    <comment ref="I24" authorId="0" shapeId="0" xr:uid="{00000000-0006-0000-0000-000002000000}">
      <text>
        <r>
          <rPr>
            <b/>
            <sz val="9"/>
            <color indexed="81"/>
            <rFont val="Tahoma"/>
            <family val="2"/>
          </rPr>
          <t xml:space="preserve">Viktig at prosjekteier (instituttleder) er innforstått med hvilket ansvar og økonomisk risiko som EU prosjekter medfører.    </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Terje Bakke</author>
    <author>Deike Pahl</author>
  </authors>
  <commentList>
    <comment ref="B3" authorId="0" shapeId="0" xr:uid="{00000000-0006-0000-0200-000001000000}">
      <text>
        <r>
          <rPr>
            <sz val="9"/>
            <color indexed="81"/>
            <rFont val="Tahoma"/>
            <family val="2"/>
          </rPr>
          <t>Automatisk som følge av input fra nedtrekksmenyen i kolonne A.</t>
        </r>
      </text>
    </comment>
    <comment ref="A44" authorId="1" shapeId="0" xr:uid="{00000000-0006-0000-0200-000002000000}">
      <text>
        <r>
          <rPr>
            <sz val="9"/>
            <color indexed="81"/>
            <rFont val="Tahoma"/>
            <family val="2"/>
          </rPr>
          <t xml:space="preserve">Innkjøp av FoU-tjenester/ Subcontracting: utløser ikke overheadkostnader.
</t>
        </r>
      </text>
    </comment>
    <comment ref="B45" authorId="0" shapeId="0" xr:uid="{2E7F64C4-2D70-4647-8740-F5753FDC68C1}">
      <text>
        <r>
          <rPr>
            <sz val="11"/>
            <color indexed="81"/>
            <rFont val="Tahoma"/>
            <family val="2"/>
          </rPr>
          <t>Avtalt beløp i Euro må regnes ut manuelt til NOK</t>
        </r>
        <r>
          <rPr>
            <sz val="9"/>
            <color indexed="81"/>
            <rFont val="Tahoma"/>
            <charset val="1"/>
          </rPr>
          <t xml:space="preserve">.
</t>
        </r>
      </text>
    </comment>
    <comment ref="F52" authorId="0" shapeId="0" xr:uid="{00000000-0006-0000-0200-000003000000}">
      <text>
        <r>
          <rPr>
            <b/>
            <sz val="9"/>
            <color indexed="81"/>
            <rFont val="Tahoma"/>
            <family val="2"/>
          </rPr>
          <t>Terje Bakke:
F</t>
        </r>
        <r>
          <rPr>
            <sz val="9"/>
            <color indexed="81"/>
            <rFont val="Tahoma"/>
            <family val="2"/>
          </rPr>
          <t>inansiørs overhead er 33% i år 1, mens det er snittet på 27%for prosjektets levetid som brukes i kalkylen - derfor overskudd år 1 og utjevning resten av perioden. prosjektperioden.</t>
        </r>
      </text>
    </comment>
    <comment ref="AQ54" authorId="0" shapeId="0" xr:uid="{00000000-0006-0000-0200-000004000000}">
      <text>
        <r>
          <rPr>
            <b/>
            <sz val="9"/>
            <color indexed="81"/>
            <rFont val="Tahoma"/>
            <family val="2"/>
          </rPr>
          <t>Terje Bakke:</t>
        </r>
        <r>
          <rPr>
            <sz val="9"/>
            <color indexed="81"/>
            <rFont val="Tahoma"/>
            <family val="2"/>
          </rPr>
          <t xml:space="preserve">
Prosentsatsen er et vektet snitt av prosentsatsene og nivået for lønn de respektive år i prosjektperioden.
</t>
        </r>
      </text>
    </comment>
    <comment ref="A58" authorId="0" shapeId="0" xr:uid="{00000000-0006-0000-0200-000005000000}">
      <text>
        <r>
          <rPr>
            <sz val="9"/>
            <color indexed="81"/>
            <rFont val="Tahoma"/>
            <family val="2"/>
          </rPr>
          <t xml:space="preserve">F.eks ansettelser av vikarer ifm frijøp av undervisningstid. NB! Kun til analyseformål, får ingen konsekvenser i prosjektregnskapet. Inntekter legges inn med minus
</t>
        </r>
      </text>
    </comment>
    <comment ref="AU60" authorId="0" shapeId="0" xr:uid="{00000000-0006-0000-0200-000006000000}">
      <text>
        <r>
          <rPr>
            <b/>
            <sz val="9"/>
            <color indexed="81"/>
            <rFont val="Tahoma"/>
            <family val="2"/>
          </rPr>
          <t>Terje Bakke:</t>
        </r>
        <r>
          <rPr>
            <sz val="9"/>
            <color indexed="81"/>
            <rFont val="Tahoma"/>
            <family val="2"/>
          </rPr>
          <t xml:space="preserve">
Sum personalkostnader i prosjektperioden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Simen Finne Jørgensen</author>
  </authors>
  <commentList>
    <comment ref="L32" authorId="0" shapeId="0" xr:uid="{00000000-0006-0000-0500-000001000000}">
      <text>
        <r>
          <rPr>
            <b/>
            <sz val="9"/>
            <color indexed="81"/>
            <rFont val="Tahoma"/>
            <family val="2"/>
          </rPr>
          <t xml:space="preserve">Av UiOs kostnader dvs minus viderefordelte inntekter.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Simen Finne Jørgensen</author>
  </authors>
  <commentList>
    <comment ref="L25" authorId="0" shapeId="0" xr:uid="{00000000-0006-0000-0700-000001000000}">
      <text>
        <r>
          <rPr>
            <b/>
            <sz val="9"/>
            <color indexed="81"/>
            <rFont val="Tahoma"/>
            <family val="2"/>
          </rPr>
          <t xml:space="preserve">Av UiOs kostnader dvs minus viderefordelte inntekter.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Terje Bakke</author>
    <author>Lars Øen</author>
  </authors>
  <commentList>
    <comment ref="M13" authorId="0" shapeId="0" xr:uid="{00000000-0006-0000-0800-000001000000}">
      <text>
        <r>
          <rPr>
            <sz val="9"/>
            <color indexed="81"/>
            <rFont val="Tahoma"/>
            <family val="2"/>
          </rPr>
          <t xml:space="preserve">Kan manuelt overstyres til et lavere beløp
</t>
        </r>
      </text>
    </comment>
    <comment ref="A14" authorId="1" shapeId="0" xr:uid="{00000000-0006-0000-0800-000002000000}">
      <text>
        <r>
          <rPr>
            <sz val="9"/>
            <color indexed="81"/>
            <rFont val="Tahoma"/>
            <family val="2"/>
          </rPr>
          <t xml:space="preserve">Kan fylles ut ved koordintorprosjekt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H13" authorId="0" shapeId="0" xr:uid="{00000000-0006-0000-0900-000001000000}">
      <text>
        <r>
          <rPr>
            <b/>
            <sz val="9"/>
            <color indexed="81"/>
            <rFont val="Tahoma"/>
            <family val="2"/>
          </rPr>
          <t>Terje Bakke:</t>
        </r>
        <r>
          <rPr>
            <sz val="9"/>
            <color indexed="81"/>
            <rFont val="Tahoma"/>
            <family val="2"/>
          </rPr>
          <t xml:space="preserve">
Kun brukes unntaksvi - ta kontakt med EU- kontoret.</t>
        </r>
      </text>
    </comment>
    <comment ref="J13" authorId="0" shapeId="0" xr:uid="{00000000-0006-0000-0900-000002000000}">
      <text>
        <r>
          <rPr>
            <b/>
            <sz val="9"/>
            <color indexed="81"/>
            <rFont val="Tahoma"/>
            <family val="2"/>
          </rPr>
          <t>Terje Bakke:</t>
        </r>
        <r>
          <rPr>
            <sz val="9"/>
            <color indexed="81"/>
            <rFont val="Tahoma"/>
            <family val="2"/>
          </rPr>
          <t xml:space="preserve">
Riktig å la leiested sortere under B? Hva med G?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D14" authorId="0" shapeId="0" xr:uid="{00000000-0006-0000-0C00-000001000000}">
      <text>
        <r>
          <rPr>
            <b/>
            <sz val="9"/>
            <color indexed="81"/>
            <rFont val="Tahoma"/>
            <family val="2"/>
          </rPr>
          <t>Hentes fra leiestedsarkfanen</t>
        </r>
        <r>
          <rPr>
            <sz val="9"/>
            <color indexed="81"/>
            <rFont val="Tahoma"/>
            <family val="2"/>
          </rPr>
          <t xml:space="preserve">
</t>
        </r>
      </text>
    </comment>
    <comment ref="I14" authorId="0" shapeId="0" xr:uid="{00000000-0006-0000-0C00-000002000000}">
      <text>
        <r>
          <rPr>
            <sz val="9"/>
            <color indexed="81"/>
            <rFont val="Tahoma"/>
            <family val="2"/>
          </rPr>
          <t>Legge inn manuelt i Euro uten indirekte kostnader!</t>
        </r>
      </text>
    </comment>
    <comment ref="J14" authorId="0" shapeId="0" xr:uid="{00000000-0006-0000-0C00-000003000000}">
      <text>
        <r>
          <rPr>
            <b/>
            <sz val="9"/>
            <color indexed="81"/>
            <rFont val="Tahoma"/>
            <family val="2"/>
          </rPr>
          <t>Legge inn manuelt!</t>
        </r>
        <r>
          <rPr>
            <sz val="9"/>
            <color indexed="81"/>
            <rFont val="Tahoma"/>
            <family val="2"/>
          </rPr>
          <t xml:space="preserve">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R12" authorId="0" shapeId="0" xr:uid="{00000000-0006-0000-0D00-000001000000}">
      <text>
        <r>
          <rPr>
            <b/>
            <sz val="9"/>
            <color indexed="81"/>
            <rFont val="Tahoma"/>
            <family val="2"/>
          </rPr>
          <t>Skal denne hentes fra leiested??</t>
        </r>
      </text>
    </comment>
    <comment ref="T12" authorId="0" shapeId="0" xr:uid="{00000000-0006-0000-0D00-000002000000}">
      <text>
        <r>
          <rPr>
            <sz val="9"/>
            <color indexed="81"/>
            <rFont val="Tahoma"/>
            <family val="2"/>
          </rPr>
          <t>Her legges betarlingsviligheten til EU inn, ikke TDI?</t>
        </r>
      </text>
    </comment>
    <comment ref="V12" authorId="0" shapeId="0" xr:uid="{00000000-0006-0000-0D00-000003000000}">
      <text>
        <r>
          <rPr>
            <sz val="9"/>
            <color indexed="81"/>
            <rFont val="Tahoma"/>
            <family val="2"/>
          </rPr>
          <t xml:space="preserve">Tilsvarer dette C" - overføring til samarbeidspartnere? Hvor skal egenfinansiert arbeidsinnsats, dvs egenandelen fremgå?
</t>
        </r>
      </text>
    </comment>
    <comment ref="X12" authorId="0" shapeId="0" xr:uid="{00000000-0006-0000-0D00-000004000000}">
      <text>
        <r>
          <rPr>
            <b/>
            <sz val="9"/>
            <color indexed="81"/>
            <rFont val="Tahoma"/>
            <family val="2"/>
          </rPr>
          <t>Hva inngår her? Er det differansen mellom kolonne W og X som utgjør egenandel?</t>
        </r>
        <r>
          <rPr>
            <sz val="9"/>
            <color indexed="81"/>
            <rFont val="Tahoma"/>
            <family val="2"/>
          </rPr>
          <t xml:space="preserve">
</t>
        </r>
      </text>
    </comment>
  </commentList>
</comments>
</file>

<file path=xl/sharedStrings.xml><?xml version="1.0" encoding="utf-8"?>
<sst xmlns="http://schemas.openxmlformats.org/spreadsheetml/2006/main" count="765" uniqueCount="477">
  <si>
    <t>Søknadsbudsjetteringsmal</t>
  </si>
  <si>
    <t>Prosjektinformasjon</t>
  </si>
  <si>
    <r>
      <t>Prosjekttittel</t>
    </r>
    <r>
      <rPr>
        <sz val="11"/>
        <color rgb="FFFF0000"/>
        <rFont val="Calibri"/>
        <family val="2"/>
        <scheme val="minor"/>
      </rPr>
      <t>*</t>
    </r>
  </si>
  <si>
    <r>
      <t>Prosjektleder</t>
    </r>
    <r>
      <rPr>
        <sz val="11"/>
        <color rgb="FFFF0000"/>
        <rFont val="Calibri"/>
        <family val="2"/>
        <scheme val="minor"/>
      </rPr>
      <t>*</t>
    </r>
  </si>
  <si>
    <r>
      <t>Prosjekteier (institutt mv)</t>
    </r>
    <r>
      <rPr>
        <sz val="11"/>
        <color rgb="FFFF0000"/>
        <rFont val="Calibri"/>
        <family val="2"/>
        <scheme val="minor"/>
      </rPr>
      <t>*</t>
    </r>
  </si>
  <si>
    <r>
      <t>Institutt-/senterleder mv</t>
    </r>
    <r>
      <rPr>
        <sz val="11"/>
        <color rgb="FFFF0000"/>
        <rFont val="Calibri"/>
        <family val="2"/>
        <scheme val="minor"/>
      </rPr>
      <t>*</t>
    </r>
  </si>
  <si>
    <t>Prosjektnummer (om opprettet)</t>
  </si>
  <si>
    <t>Saksnummer i ephorte (om opprettet)</t>
  </si>
  <si>
    <r>
      <t xml:space="preserve">Kort begrunnelse for prosjektes faglige interesse. </t>
    </r>
    <r>
      <rPr>
        <sz val="11"/>
        <color rgb="FFFF0000"/>
        <rFont val="Calibri"/>
        <family val="2"/>
        <scheme val="minor"/>
      </rPr>
      <t>*</t>
    </r>
  </si>
  <si>
    <t>Prosjektperiode</t>
  </si>
  <si>
    <t>Dato (etablering av budsjettet)</t>
  </si>
  <si>
    <r>
      <t>Første budsjettår (oppstartsår)</t>
    </r>
    <r>
      <rPr>
        <sz val="11"/>
        <color rgb="FFFF0000"/>
        <rFont val="Calibri"/>
        <family val="2"/>
        <scheme val="minor"/>
      </rPr>
      <t>*</t>
    </r>
  </si>
  <si>
    <r>
      <t>Prosjektets (avtaleperioden) start</t>
    </r>
    <r>
      <rPr>
        <sz val="11"/>
        <color rgb="FFFF0000"/>
        <rFont val="Calibri"/>
        <family val="2"/>
        <scheme val="minor"/>
      </rPr>
      <t>*</t>
    </r>
  </si>
  <si>
    <r>
      <t>Prosjektets (avtaleperioden) slutt</t>
    </r>
    <r>
      <rPr>
        <sz val="11"/>
        <color rgb="FFFF0000"/>
        <rFont val="Calibri"/>
        <family val="2"/>
        <scheme val="minor"/>
      </rPr>
      <t>*</t>
    </r>
  </si>
  <si>
    <t>Prosjektets slutt (etter endring)</t>
  </si>
  <si>
    <t>Beregning av valuta etter vedtatt modell for valutapolicy:</t>
  </si>
  <si>
    <t>Informasjon om finansiering</t>
  </si>
  <si>
    <t>Snittkurs 01.09.2022 - 01.09.2024</t>
  </si>
  <si>
    <t xml:space="preserve">se link: </t>
  </si>
  <si>
    <t>valutapolicy</t>
  </si>
  <si>
    <t>Navn på finansieringskilde(r)</t>
  </si>
  <si>
    <t>EU's rammeprogram (Horizon Europa)</t>
  </si>
  <si>
    <t xml:space="preserve"> fratrekk risikofaktor</t>
  </si>
  <si>
    <t>Valutakurs (må forankres hos instituttleder)</t>
  </si>
  <si>
    <t>Policykurs for innev. Periode</t>
  </si>
  <si>
    <t>Prosjektkategorisering ( Bidrag)</t>
  </si>
  <si>
    <t xml:space="preserve">Eventuell manuell overstyring: </t>
  </si>
  <si>
    <t>Finansieringsprinsipp</t>
  </si>
  <si>
    <t>Kostnadsspesifikk</t>
  </si>
  <si>
    <t>Finansieringstype</t>
  </si>
  <si>
    <t>Fast beløp</t>
  </si>
  <si>
    <t>Vit.</t>
  </si>
  <si>
    <t>T/A</t>
  </si>
  <si>
    <r>
      <t>Prosjekttype (overheadkostnader)</t>
    </r>
    <r>
      <rPr>
        <sz val="11"/>
        <color rgb="FFFF0000"/>
        <rFont val="Calibri"/>
        <family val="2"/>
        <scheme val="minor"/>
      </rPr>
      <t>*</t>
    </r>
  </si>
  <si>
    <t>Prosjekter som foregår i UiOs lokaler</t>
  </si>
  <si>
    <t>Pris- lønnsjustering</t>
  </si>
  <si>
    <t>fremtid</t>
  </si>
  <si>
    <t>Årlig lønnsjustering  i hele prosjektperioden</t>
  </si>
  <si>
    <t>Ja</t>
  </si>
  <si>
    <t>Lønnsjustering vil gjelder i alle årene i projektetes levetid</t>
  </si>
  <si>
    <t>Finansiering:</t>
  </si>
  <si>
    <t>Prosjekt:</t>
  </si>
  <si>
    <t>Fast eksternt beløp</t>
  </si>
  <si>
    <t>Legg inntekter inn med minus-fortegn</t>
  </si>
  <si>
    <t>Navn</t>
  </si>
  <si>
    <t>Sum</t>
  </si>
  <si>
    <t>% andel</t>
  </si>
  <si>
    <t>EU - finansiering</t>
  </si>
  <si>
    <t>Annen finansiering</t>
  </si>
  <si>
    <t>SUM eksternt inntekt</t>
  </si>
  <si>
    <t>Prosjekttittel:</t>
  </si>
  <si>
    <t>LØNNS- OG DRIFTSKOSTNADER</t>
  </si>
  <si>
    <t>OVERHEADKOSTNADER</t>
  </si>
  <si>
    <t>Eksternt finansiert overhead</t>
  </si>
  <si>
    <t>Internt finansiert overhead</t>
  </si>
  <si>
    <t>EU</t>
  </si>
  <si>
    <t>Egenandel</t>
  </si>
  <si>
    <t>Prosjektansatte - dekkes av prosjektbevilgning</t>
  </si>
  <si>
    <t>REGISTRER ÅRSVERK</t>
  </si>
  <si>
    <t>Alle beløp er angitt i hele kroner</t>
  </si>
  <si>
    <t>Ekstern finansiering</t>
  </si>
  <si>
    <t>Prosjektansatte</t>
  </si>
  <si>
    <t>Stillingskategori iht EU's terminologi</t>
  </si>
  <si>
    <t>Finansiør</t>
  </si>
  <si>
    <t>Årslønn</t>
  </si>
  <si>
    <t>Periode 1 (1-18 month)</t>
  </si>
  <si>
    <t>Periode 2 (19-36 month)</t>
  </si>
  <si>
    <t>Periode 3 (37-54 month)</t>
  </si>
  <si>
    <t>Periode 4 (55-60 (72) month)</t>
  </si>
  <si>
    <t>Sum årsv</t>
  </si>
  <si>
    <t>Lønn og sos. kostnader</t>
  </si>
  <si>
    <t>Overhead</t>
  </si>
  <si>
    <t>Totalt</t>
  </si>
  <si>
    <t>Gj.snitt. Ltr</t>
  </si>
  <si>
    <t>Bruttolønn</t>
  </si>
  <si>
    <t>inkl lønnsv.</t>
  </si>
  <si>
    <t>Lønn</t>
  </si>
  <si>
    <t>Feriep</t>
  </si>
  <si>
    <t>AGA</t>
  </si>
  <si>
    <t>Pensjon</t>
  </si>
  <si>
    <t>inkl sos.avg.</t>
  </si>
  <si>
    <t>inkl. ind.kost.</t>
  </si>
  <si>
    <t>Timesats</t>
  </si>
  <si>
    <t>Totale kostnader</t>
  </si>
  <si>
    <t>Sum Egenandel</t>
  </si>
  <si>
    <t>Eksisterende ansatte - dekkes av prosjektbevilgning</t>
  </si>
  <si>
    <t>Frikjøp art 5892</t>
  </si>
  <si>
    <t>Eksisterende ansatte - dekkes av UiO (egenandel)</t>
  </si>
  <si>
    <t>Frikjøp art 5896</t>
  </si>
  <si>
    <t>Timelønn - dekkes av prosjektbevilgning</t>
  </si>
  <si>
    <t>REGISTRER TIMER</t>
  </si>
  <si>
    <t>Beløp</t>
  </si>
  <si>
    <t>Timebasert lønn</t>
  </si>
  <si>
    <t>Total arbeidsinnsats for prosjektet (årsverk)</t>
  </si>
  <si>
    <t>Direkte driftsmidler</t>
  </si>
  <si>
    <t>REGISTRER DRIFTSKOSTNADER</t>
  </si>
  <si>
    <t>Kommentarfelt</t>
  </si>
  <si>
    <t>Lab./feltundersøkelser</t>
  </si>
  <si>
    <t>Reiser/konferanser/mv.</t>
  </si>
  <si>
    <t>Andre driftskostnader</t>
  </si>
  <si>
    <t>Leiested - internt finansiert</t>
  </si>
  <si>
    <t>Leiested - eksternt finansiert</t>
  </si>
  <si>
    <t>Publikasjoner</t>
  </si>
  <si>
    <t>Innkjøp av FoU-tjenester/ Subcontracting</t>
  </si>
  <si>
    <t>Viderefordelte midler</t>
  </si>
  <si>
    <t>Brukes unntaksvis, se utlysning</t>
  </si>
  <si>
    <t>Investeringer (utstyr)</t>
  </si>
  <si>
    <t>Eksterne inntekter</t>
  </si>
  <si>
    <t>totale kostnader</t>
  </si>
  <si>
    <t>direkte kostnader - grunnlag eu -inntekt</t>
  </si>
  <si>
    <t>Eu-inntekt</t>
  </si>
  <si>
    <t>Resultat</t>
  </si>
  <si>
    <t>REGISTRER TOTAL OVERHEAD OG EKSTERNT FINANSIERT OVERHEAD</t>
  </si>
  <si>
    <t>Påslag lik sats overheadkostnader (indirekte kostnader)</t>
  </si>
  <si>
    <t>Benyttet sats:</t>
  </si>
  <si>
    <t>Gjennomsnitt for perioden</t>
  </si>
  <si>
    <t>Sats TOT OH</t>
  </si>
  <si>
    <t>Teknisk/adm. bistand</t>
  </si>
  <si>
    <t>Sats OH pr år</t>
  </si>
  <si>
    <t>Prosjektets nettobidrag:</t>
  </si>
  <si>
    <t>Totalt beløp</t>
  </si>
  <si>
    <t xml:space="preserve">Mer inntekt/kostnad for instituttet </t>
  </si>
  <si>
    <t>Prosjektets reelle nettobidrag</t>
  </si>
  <si>
    <t>Øvrige</t>
  </si>
  <si>
    <t>øvrig lønn</t>
  </si>
  <si>
    <t>OH-sats Vit</t>
  </si>
  <si>
    <t>Total OH</t>
  </si>
  <si>
    <t>**</t>
  </si>
  <si>
    <t>Leiestedskalkyle versjon:</t>
  </si>
  <si>
    <t>Alle beløp angis i hele kroner</t>
  </si>
  <si>
    <t>Leiested 1</t>
  </si>
  <si>
    <t>Antall timer/enheter Leiested</t>
  </si>
  <si>
    <t>Enhetspris Leiested</t>
  </si>
  <si>
    <t>Leiestedskostnader</t>
  </si>
  <si>
    <t>Leiested 2</t>
  </si>
  <si>
    <t>Leiested 3</t>
  </si>
  <si>
    <t>Leiested 4</t>
  </si>
  <si>
    <t>Leiested 5</t>
  </si>
  <si>
    <t>Leiested 6</t>
  </si>
  <si>
    <t>Leiested 7</t>
  </si>
  <si>
    <t>Leiested 8</t>
  </si>
  <si>
    <t>Leiested 9</t>
  </si>
  <si>
    <t>Leiested 10</t>
  </si>
  <si>
    <t>Leiested 11</t>
  </si>
  <si>
    <t>Leiested 12</t>
  </si>
  <si>
    <t>Leiested 13</t>
  </si>
  <si>
    <t>Leiested 14</t>
  </si>
  <si>
    <t>Leiested 15</t>
  </si>
  <si>
    <t>Grunnlag for UiO sine interne styring (totalregnskapsføring)</t>
  </si>
  <si>
    <t>Startdato:</t>
  </si>
  <si>
    <t>Dato:</t>
  </si>
  <si>
    <t>Prosjektnr:</t>
  </si>
  <si>
    <t>Sluttdato:</t>
  </si>
  <si>
    <t>Saksnummer ePhorte:</t>
  </si>
  <si>
    <t>Prosjekttype (overheadkostnader):</t>
  </si>
  <si>
    <t>Prosjektkategorisering:</t>
  </si>
  <si>
    <t>Finansieringstype:</t>
  </si>
  <si>
    <t>Intern rapport - søknadsbudsjett</t>
  </si>
  <si>
    <t>Levetids-prognose</t>
  </si>
  <si>
    <t>Viderefordelte inntekter</t>
  </si>
  <si>
    <t>Totale inntekter</t>
  </si>
  <si>
    <t>Personalkostnader</t>
  </si>
  <si>
    <t>Kostnad eksternt fin frikjøp</t>
  </si>
  <si>
    <t>Kostnad internt fin frikjøp</t>
  </si>
  <si>
    <t>Eksternt fin overheadkostnader</t>
  </si>
  <si>
    <t>Internt fin overheadkostnader</t>
  </si>
  <si>
    <t>Investeringer</t>
  </si>
  <si>
    <t>Eksternt fin leiestedskostnader</t>
  </si>
  <si>
    <t>Internt fin. leiestedskostnader</t>
  </si>
  <si>
    <t>Direkte driftskostnader</t>
  </si>
  <si>
    <t>Resultat levetidsprognose</t>
  </si>
  <si>
    <t xml:space="preserve">Nettobidrag </t>
  </si>
  <si>
    <t>IK - splitt (Unit 4)</t>
  </si>
  <si>
    <t>Kort begrunnelse for prosjektets faglige interesse:</t>
  </si>
  <si>
    <t>Total overheadkostnad</t>
  </si>
  <si>
    <t>Eksternt fin. overhead</t>
  </si>
  <si>
    <t>Egenandelsprosent</t>
  </si>
  <si>
    <t>Underskrifter (på papirutskriften - som skal arkiveres)</t>
  </si>
  <si>
    <t>Prosjekteier (instituttleder)</t>
  </si>
  <si>
    <t>Dato</t>
  </si>
  <si>
    <t>Prosjektleder</t>
  </si>
  <si>
    <t>NFR - budgeting form</t>
  </si>
  <si>
    <t>Cost plan (in NOK 1000)*</t>
  </si>
  <si>
    <t>Sum 3 siste år</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</si>
  <si>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</si>
  <si>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</si>
  <si>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</si>
  <si>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</si>
  <si>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</si>
  <si>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</si>
  <si>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</si>
  <si>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</si>
  <si>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</si>
  <si>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</si>
  <si>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</si>
  <si>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</si>
  <si>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 Andel</t>
  </si>
  <si>
    <t>Own financing</t>
  </si>
  <si>
    <t>International funding</t>
  </si>
  <si>
    <t>Other public funding</t>
  </si>
  <si>
    <t>Other private funding</t>
  </si>
  <si>
    <t>From Research Council</t>
  </si>
  <si>
    <t>kontroll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</si>
  <si>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</si>
  <si>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</si>
  <si>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</si>
  <si>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</si>
  <si>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</si>
  <si>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</si>
  <si>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</si>
  <si>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</si>
  <si>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</si>
  <si>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Controll</t>
  </si>
  <si>
    <t>Frikjøp</t>
  </si>
  <si>
    <t>Estimated expenditure</t>
  </si>
  <si>
    <t>Estimated income</t>
  </si>
  <si>
    <t>Estimated eligible costs</t>
  </si>
  <si>
    <t>Requested EU contribution</t>
  </si>
  <si>
    <t>Revenues</t>
  </si>
  <si>
    <t>Other sources of financing</t>
  </si>
  <si>
    <t>Total estimate d income (s)=(n) +(o)+(p)+ (q) + (r)</t>
  </si>
  <si>
    <r>
      <t>A 
Personnel cost/</t>
    </r>
    <r>
      <rPr>
        <sz val="10"/>
        <rFont val="Calibri"/>
        <family val="2"/>
      </rPr>
      <t>€ 
(a1)</t>
    </r>
  </si>
  <si>
    <t>B
Subcontracti
ng costs/€
(b)</t>
  </si>
  <si>
    <t>C. Purchase costs</t>
  </si>
  <si>
    <t>D. 
Other cost
categories</t>
  </si>
  <si>
    <t>E. 
Indirect
costs/€
(e) = 25% *
[(a1) + (c1)
+ (c2) + (c3)
+ (d7)]</t>
  </si>
  <si>
    <t xml:space="preserve">Total eligible
costs
(h) = (a1) +
(b) + (c1) +
(c2) + (c3) +
(d) + (e)
</t>
  </si>
  <si>
    <t>EU contribution to eligible costs</t>
  </si>
  <si>
    <t>Participant</t>
  </si>
  <si>
    <t>Country</t>
  </si>
  <si>
    <t>C.1 
Travel and subsiste nce/€ 
(c1)</t>
  </si>
  <si>
    <t xml:space="preserve"> C.2 
Equipm ent/€ 
(c2) </t>
  </si>
  <si>
    <t>C.3 
Other goods, works and services /€ 
(c3)</t>
  </si>
  <si>
    <t>D.X
[specific cost
category] /€
(dx)</t>
  </si>
  <si>
    <t>Funding
rate
(U)</t>
  </si>
  <si>
    <t>Maximum
EU
contribution to
eligible
costs
(l) = (U) * (h)</t>
  </si>
  <si>
    <t>Requested
EU
contribution to
eligible costs/€
(Requested grant
amount) 
(m) (n)</t>
  </si>
  <si>
    <t>Income generated by the action 
(o)</t>
  </si>
  <si>
    <t>Financial
contributions
(q)</t>
  </si>
  <si>
    <t>Own
resource
s
®</t>
  </si>
  <si>
    <t>UIO</t>
  </si>
  <si>
    <t>NO</t>
  </si>
  <si>
    <t>Participant 2</t>
  </si>
  <si>
    <t>Participant 3</t>
  </si>
  <si>
    <t>Participant 4</t>
  </si>
  <si>
    <t>Participant 5</t>
  </si>
  <si>
    <t>Participant 6</t>
  </si>
  <si>
    <t>Participant 7</t>
  </si>
  <si>
    <t>Participant 8</t>
  </si>
  <si>
    <t>Participant 9</t>
  </si>
  <si>
    <t>Participant 10</t>
  </si>
  <si>
    <t>Participant 11</t>
  </si>
  <si>
    <t>Participant 12</t>
  </si>
  <si>
    <t>Participant 13</t>
  </si>
  <si>
    <t>Participant 14</t>
  </si>
  <si>
    <t>Participant 15</t>
  </si>
  <si>
    <t>Participant 16</t>
  </si>
  <si>
    <t>Participant 17</t>
  </si>
  <si>
    <t>Participant 18</t>
  </si>
  <si>
    <t>Participant 19</t>
  </si>
  <si>
    <t>Participant 20</t>
  </si>
  <si>
    <t>Participant 21</t>
  </si>
  <si>
    <t>Participant 22</t>
  </si>
  <si>
    <t>Participant 23</t>
  </si>
  <si>
    <t>Participant 24</t>
  </si>
  <si>
    <t>Participant 25</t>
  </si>
  <si>
    <t>Participant 26</t>
  </si>
  <si>
    <t>Participant 27</t>
  </si>
  <si>
    <t>Participant 28</t>
  </si>
  <si>
    <t>Participant 29</t>
  </si>
  <si>
    <t>Participant 30</t>
  </si>
  <si>
    <t>Total</t>
  </si>
  <si>
    <t>3 - Budget for the proposal</t>
  </si>
  <si>
    <r>
      <t>(A)     Direct      personnel     cost/</t>
    </r>
    <r>
      <rPr>
        <sz val="10"/>
        <rFont val="Calibri"/>
        <family val="2"/>
      </rPr>
      <t>€</t>
    </r>
  </si>
  <si>
    <r>
      <t>(B)         Other direct    costs/</t>
    </r>
    <r>
      <rPr>
        <sz val="10"/>
        <rFont val="Calibri"/>
        <family val="2"/>
      </rPr>
      <t>€</t>
    </r>
  </si>
  <si>
    <r>
      <t>(C)            Direct costs of        subcontracting/</t>
    </r>
    <r>
      <rPr>
        <sz val="10"/>
        <rFont val="Calibri"/>
        <family val="2"/>
      </rPr>
      <t>€</t>
    </r>
  </si>
  <si>
    <r>
      <t>(D)          Direct costs of     providing      financial     support to third     parties/</t>
    </r>
    <r>
      <rPr>
        <sz val="10"/>
        <rFont val="Calibri"/>
        <family val="2"/>
      </rPr>
      <t>€</t>
    </r>
  </si>
  <si>
    <r>
      <t>(E)              Costs of inkind     contributions      not used on     the      beneficiary's       premises/</t>
    </r>
    <r>
      <rPr>
        <sz val="10"/>
        <rFont val="Calibri"/>
        <family val="2"/>
      </rPr>
      <t>€</t>
    </r>
  </si>
  <si>
    <r>
      <t>(F)               Indirect Costs/</t>
    </r>
    <r>
      <rPr>
        <sz val="10"/>
        <rFont val="Calibri"/>
        <family val="2"/>
      </rPr>
      <t>€                            (=0,25(A+B-E)</t>
    </r>
  </si>
  <si>
    <t>(G)         Special unit        costs covering        direct &amp;         indirect costs</t>
  </si>
  <si>
    <r>
      <t>(H)             Total       estimated          eligible costs/</t>
    </r>
    <r>
      <rPr>
        <sz val="10"/>
        <rFont val="Calibri"/>
        <family val="2"/>
      </rPr>
      <t>€</t>
    </r>
    <r>
      <rPr>
        <sz val="10"/>
        <rFont val="Arial"/>
        <family val="2"/>
      </rPr>
      <t xml:space="preserve">     (=A+B+C+D+F+G)</t>
    </r>
  </si>
  <si>
    <t>(I)    Reinburse-ment rate</t>
  </si>
  <si>
    <r>
      <t>(J)          Max. Grant/</t>
    </r>
    <r>
      <rPr>
        <sz val="10"/>
        <rFont val="Calibri"/>
        <family val="2"/>
      </rPr>
      <t>€</t>
    </r>
    <r>
      <rPr>
        <sz val="10"/>
        <rFont val="Arial"/>
        <family val="2"/>
      </rPr>
      <t xml:space="preserve">   (=H*1)</t>
    </r>
  </si>
  <si>
    <r>
      <t>(K)      Requested grant/</t>
    </r>
    <r>
      <rPr>
        <sz val="10"/>
        <rFont val="Calibri"/>
        <family val="2"/>
      </rPr>
      <t>€</t>
    </r>
  </si>
  <si>
    <t>Beneficiary Short Name</t>
  </si>
  <si>
    <t xml:space="preserve">Principal investigator </t>
  </si>
  <si>
    <t>Senior Staff</t>
  </si>
  <si>
    <t>Postdocs</t>
  </si>
  <si>
    <t>Students</t>
  </si>
  <si>
    <t>Other</t>
  </si>
  <si>
    <t>A.
Total
personnel
costs/€</t>
  </si>
  <si>
    <t xml:space="preserve">B. Subcontracti ng Costs/€ (No indirect costs) </t>
  </si>
  <si>
    <t>C.1 Travel and subsistenct</t>
  </si>
  <si>
    <t>C.2 Equipment - including major equipment</t>
  </si>
  <si>
    <t>Consum-ables incl. fieldwork and animal costs</t>
  </si>
  <si>
    <t>Publications (incl. Open Access fees) and dissemination</t>
  </si>
  <si>
    <t>Other additonal direct costs</t>
  </si>
  <si>
    <t>C.3 Total other goods and services</t>
  </si>
  <si>
    <t>Total
Purchase
costs/€</t>
  </si>
  <si>
    <t>D. Internally invoiced goods and services/€ (No indirect costs)</t>
  </si>
  <si>
    <t>E. Indirect Cost/€</t>
  </si>
  <si>
    <t>Total Estimated Eligible Costs</t>
  </si>
  <si>
    <t>UiO</t>
  </si>
  <si>
    <t>EU - Prosjektbudsjett (kontrakt)</t>
  </si>
  <si>
    <t>EURO</t>
  </si>
  <si>
    <t>Allocations sought from the EU Council (in EUR)</t>
  </si>
  <si>
    <t>Direct personnel costs (EUR)</t>
  </si>
  <si>
    <t>A Actual costs</t>
  </si>
  <si>
    <t>Other direct costs</t>
  </si>
  <si>
    <t>F Declared as actual costs</t>
  </si>
  <si>
    <t>I Total Unit costs</t>
  </si>
  <si>
    <t>Other costs</t>
  </si>
  <si>
    <t>K Subcontracting costs</t>
  </si>
  <si>
    <t>L Costs of providing financial support to third parties</t>
  </si>
  <si>
    <t>Total direct costs</t>
  </si>
  <si>
    <t>Indirect costs (25% flat rate)</t>
  </si>
  <si>
    <t>O Total eligible costs</t>
  </si>
  <si>
    <t>R Requested amount of the grant</t>
  </si>
  <si>
    <t>Inntekter EU i NOK (overføres til arkfanen finansiering)</t>
  </si>
  <si>
    <t>Allocations sought from own financing (in EUR)</t>
  </si>
  <si>
    <t>Indirect costs (TDI)</t>
  </si>
  <si>
    <t>Total costs</t>
  </si>
  <si>
    <t>Total funding</t>
  </si>
  <si>
    <t>% Share</t>
  </si>
  <si>
    <t xml:space="preserve">Own financing </t>
  </si>
  <si>
    <t>Hvor skal denne egenandelen fremgå på "Erc for the proposal"?</t>
  </si>
  <si>
    <t>EU funding</t>
  </si>
  <si>
    <t>Total budget</t>
  </si>
  <si>
    <t>D. Other cost categories</t>
  </si>
  <si>
    <t xml:space="preserve">D.1 Financial support to third parties (Actual costs)
 (d1)
</t>
  </si>
  <si>
    <t xml:space="preserve"> D.2 Internally invoiced goods and services (Unit costs - usual accounting practices)
 (d2)</t>
  </si>
  <si>
    <t xml:space="preserve">D.3 Transnation al access to research infrastructure s (Unit costs) 
(d3) </t>
  </si>
  <si>
    <t>D.4 Virtual access to research infrastructure s (Unit costs)
 (d4)</t>
  </si>
  <si>
    <t>D.5 PCP/PPI procurement costs (Actual costs) 
(d5)</t>
  </si>
  <si>
    <t xml:space="preserve">D.6 
Euratom
Cofund staff
mobility
(d6)
costs
</t>
  </si>
  <si>
    <t>D.7
ERC additional funding (Actual costs) 
(d7)</t>
  </si>
  <si>
    <t>D.8 
ERC additional funding (subcontracting, FSTP and internally invoiced goods and services) (Actual costs) 
(d8)</t>
  </si>
  <si>
    <t>Direct Costs</t>
  </si>
  <si>
    <t>A. Total Direct Costs</t>
  </si>
  <si>
    <t>B. Indirect Costs</t>
  </si>
  <si>
    <t xml:space="preserve">C1. Subcontracting Costs </t>
  </si>
  <si>
    <t>C2. Costs of in kind contribution not used on the beneficiary's premises</t>
  </si>
  <si>
    <t>Personnel</t>
  </si>
  <si>
    <t>Other direkct costs</t>
  </si>
  <si>
    <t>A.3 Internally invoiced goods and services</t>
  </si>
  <si>
    <t>PI</t>
  </si>
  <si>
    <t>Other personal costs</t>
  </si>
  <si>
    <t>A.1 Total direct costs for personnel</t>
  </si>
  <si>
    <t>Travel</t>
  </si>
  <si>
    <t>Equipment - including major Equipment</t>
  </si>
  <si>
    <t>Other goods and services</t>
  </si>
  <si>
    <t>A.2. Total other direct costs</t>
  </si>
  <si>
    <t>Total other goods and services</t>
  </si>
  <si>
    <t xml:space="preserve">Enspire Science Ltd. </t>
  </si>
  <si>
    <t>Periode 1?</t>
  </si>
  <si>
    <t>Periode 2?</t>
  </si>
  <si>
    <t>Periiode 3?</t>
  </si>
  <si>
    <t>Periode 4?</t>
  </si>
  <si>
    <t>Budsjett vises i hele Euro</t>
  </si>
  <si>
    <t>Cost Category</t>
  </si>
  <si>
    <t>Periode 4 (55-60 (72))</t>
  </si>
  <si>
    <t>Total in Euro</t>
  </si>
  <si>
    <t>"Cost Category" tilsvarer følegdene  kostnader fra arkfanen "Budsjett":</t>
  </si>
  <si>
    <t>Forsker-professor, Forsker-1.amanuensis, Forsker (rundsum), Gjesteforsker</t>
  </si>
  <si>
    <t>Postdoktor / Forsker</t>
  </si>
  <si>
    <t>Stipendiat</t>
  </si>
  <si>
    <t>Teknisk /administrativ bistand/timebasertlønn</t>
  </si>
  <si>
    <t>i. Total Direct Costs for Personnel (in Euro)</t>
  </si>
  <si>
    <t>Reiser /konferanser</t>
  </si>
  <si>
    <t>Investeringer /utstyr</t>
  </si>
  <si>
    <t>Consumables</t>
  </si>
  <si>
    <t xml:space="preserve">Lab. /feltundersøkelser </t>
  </si>
  <si>
    <t xml:space="preserve">Publications (incl. Open Access fees), etc. </t>
  </si>
  <si>
    <t>Other (please specify)</t>
  </si>
  <si>
    <t xml:space="preserve">Andre driftskostnader </t>
  </si>
  <si>
    <t>ii. Total Other Direct Costs (in Euro)</t>
  </si>
  <si>
    <r>
      <t xml:space="preserve">A - Total direct Costs (i+ii) </t>
    </r>
    <r>
      <rPr>
        <sz val="12"/>
        <rFont val="Times New Roman"/>
        <family val="1"/>
      </rPr>
      <t>(in Euro)</t>
    </r>
  </si>
  <si>
    <r>
      <t xml:space="preserve">B- Indirect Costs (overheads) </t>
    </r>
    <r>
      <rPr>
        <sz val="12"/>
        <rFont val="Times New Roman"/>
        <family val="1"/>
      </rPr>
      <t>25% of Direct Costs</t>
    </r>
    <r>
      <rPr>
        <vertAlign val="superscript"/>
        <sz val="12"/>
        <rFont val="Times New Roman"/>
        <family val="1"/>
      </rPr>
      <t>4</t>
    </r>
    <r>
      <rPr>
        <sz val="12"/>
        <rFont val="Times New Roman"/>
        <family val="1"/>
      </rPr>
      <t xml:space="preserve"> (in Euro)</t>
    </r>
  </si>
  <si>
    <r>
      <t xml:space="preserve">C1 - Subcontracting Costs </t>
    </r>
    <r>
      <rPr>
        <sz val="12"/>
        <rFont val="Times New Roman"/>
        <family val="1"/>
      </rPr>
      <t>(no overheads) (in Euro)</t>
    </r>
  </si>
  <si>
    <t>Innkjøp av FoU-tjenester /subcontracting</t>
  </si>
  <si>
    <r>
      <t xml:space="preserve">C2 - Other Direct costs with no over heads </t>
    </r>
    <r>
      <rPr>
        <sz val="12"/>
        <rFont val="Times New Roman"/>
        <family val="1"/>
      </rPr>
      <t>(in Euro)</t>
    </r>
    <r>
      <rPr>
        <vertAlign val="superscript"/>
        <sz val="12"/>
        <rFont val="Times New Roman"/>
        <family val="1"/>
      </rPr>
      <t>5</t>
    </r>
  </si>
  <si>
    <r>
      <t xml:space="preserve">Total Estimated Eligible Costs (A+B+C) </t>
    </r>
    <r>
      <rPr>
        <sz val="12"/>
        <rFont val="Times New Roman"/>
        <family val="1"/>
      </rPr>
      <t>(in Euro)</t>
    </r>
    <r>
      <rPr>
        <vertAlign val="superscript"/>
        <sz val="12"/>
        <rFont val="Times New Roman"/>
        <family val="1"/>
      </rPr>
      <t>6</t>
    </r>
  </si>
  <si>
    <r>
      <t xml:space="preserve">Total Requested EU Contribution </t>
    </r>
    <r>
      <rPr>
        <sz val="12"/>
        <rFont val="Times New Roman"/>
        <family val="1"/>
      </rPr>
      <t>(in Euro)</t>
    </r>
    <r>
      <rPr>
        <vertAlign val="superscript"/>
        <sz val="12"/>
        <rFont val="Times New Roman"/>
        <family val="1"/>
      </rPr>
      <t>6</t>
    </r>
  </si>
  <si>
    <r>
      <t>2</t>
    </r>
    <r>
      <rPr>
        <sz val="10"/>
        <rFont val="Times New Roman"/>
        <family val="1"/>
      </rPr>
      <t xml:space="preserve"> An additional cost category 'Direct costing for Large Research Infrastructures' applicable to H2020 can be added to this table (below ‘Other Goods and services’) for PIs who are hosted by institutions with Large Research Infrastructures of a value of at least EUR 20 million and </t>
    </r>
    <r>
      <rPr>
        <b/>
        <sz val="10"/>
        <rFont val="Times New Roman"/>
        <family val="1"/>
      </rPr>
      <t>only</t>
    </r>
    <r>
      <rPr>
        <sz val="10"/>
        <rFont val="Times New Roman"/>
        <family val="1"/>
      </rPr>
      <t xml:space="preserve"> after having received a positive ex-ante assessment from the Commission's services (see ‘</t>
    </r>
    <r>
      <rPr>
        <i/>
        <sz val="10"/>
        <rFont val="Times New Roman"/>
        <family val="1"/>
      </rPr>
      <t xml:space="preserve">Information for Applicants to the Starting and Consolidator Grant 2014 Calls’ </t>
    </r>
    <r>
      <rPr>
        <sz val="10"/>
        <rFont val="Times New Roman"/>
        <family val="1"/>
      </rPr>
      <t>for more details).</t>
    </r>
  </si>
  <si>
    <r>
      <t>3</t>
    </r>
    <r>
      <rPr>
        <sz val="10"/>
        <rFont val="Times New Roman"/>
        <family val="1"/>
      </rPr>
      <t xml:space="preserve"> When calculating the salary, please take into account the percentage of your dedicated working time to run the ERC funded project (i.e. minimum 50% of your total working time for StG and CoG, 30% for AdG). </t>
    </r>
  </si>
  <si>
    <r>
      <t>4</t>
    </r>
    <r>
      <rPr>
        <sz val="10"/>
        <rFont val="Times New Roman"/>
        <family val="1"/>
      </rPr>
      <t xml:space="preserve"> Please note that the overheads are fixed to a flat rate of exactly 25%.</t>
    </r>
  </si>
  <si>
    <r>
      <t>5</t>
    </r>
    <r>
      <rPr>
        <sz val="10"/>
        <rFont val="Times New Roman"/>
        <family val="1"/>
      </rPr>
      <t>Such as the costs of resources made available by third parties which are not used on the premises of the beneficiary (see ‘</t>
    </r>
    <r>
      <rPr>
        <i/>
        <sz val="10"/>
        <rFont val="Times New Roman"/>
        <family val="1"/>
      </rPr>
      <t xml:space="preserve">Information for Applicants to the Starting and Consolidator Grant 2014 Calls’ </t>
    </r>
    <r>
      <rPr>
        <sz val="10"/>
        <rFont val="Times New Roman"/>
        <family val="1"/>
      </rPr>
      <t>for details).</t>
    </r>
  </si>
  <si>
    <r>
      <t>6</t>
    </r>
    <r>
      <rPr>
        <sz val="10"/>
        <rFont val="Times New Roman"/>
        <family val="1"/>
      </rPr>
      <t xml:space="preserve"> These figures MUST match those presented in the online proposal submission form, section 3 – Budget.</t>
    </r>
  </si>
  <si>
    <t>Lønnstrinn</t>
  </si>
  <si>
    <t>PEDAT</t>
  </si>
  <si>
    <t>Grunnlagstabell for registrering av prosjektkategori</t>
  </si>
  <si>
    <t>Tabell mai 2022</t>
  </si>
  <si>
    <t>C-tabellen</t>
  </si>
  <si>
    <t xml:space="preserve">    37,5 t.</t>
  </si>
  <si>
    <t>LTR</t>
  </si>
  <si>
    <t>Brutto</t>
  </si>
  <si>
    <t>Arbeidstimer pr. år</t>
  </si>
  <si>
    <t xml:space="preserve"> Produktive timer</t>
  </si>
  <si>
    <t>Ltr.</t>
  </si>
  <si>
    <t>Timelønn</t>
  </si>
  <si>
    <t>Vit.ansatt</t>
  </si>
  <si>
    <t>Adm. Ansatt</t>
  </si>
  <si>
    <r>
      <t xml:space="preserve"> Satsene gjelder </t>
    </r>
    <r>
      <rPr>
        <b/>
        <i/>
        <sz val="8"/>
        <rFont val="Arial"/>
        <family val="2"/>
      </rPr>
      <t>PR. ÅRSVERK</t>
    </r>
  </si>
  <si>
    <t xml:space="preserve"> Mange typiske HumSam-miljøer</t>
  </si>
  <si>
    <t>Bevilgning</t>
  </si>
  <si>
    <t>Prosjekter som ikke foregår i UiOs lokaler</t>
  </si>
  <si>
    <t xml:space="preserve"> Innenfor både HumSam og MedNat</t>
  </si>
  <si>
    <t>660000 - 669998 EU forskning/ rammeprogrammer Horizon 2020</t>
  </si>
  <si>
    <t>Vitenskapelig ansatt UiO lokale</t>
  </si>
  <si>
    <t>Teknisk/adm. Ansatt i Uio lokale</t>
  </si>
  <si>
    <t xml:space="preserve"> Tradisjonelle eksperimentelle miljøer innenfor MedNat</t>
  </si>
  <si>
    <t>Vitenskapelig ansatt ikke i UiO lokale</t>
  </si>
  <si>
    <t xml:space="preserve"> For eksempel basalmedisin</t>
  </si>
  <si>
    <t>Teknisk/adm. Ansatt ikke i Uio lokale</t>
  </si>
  <si>
    <t xml:space="preserve"> Eksempelvis prosjekter som fysisk foregår i sykehusenes lokaler</t>
  </si>
  <si>
    <t>Valgt TDI</t>
  </si>
  <si>
    <t>Vit.ansatte</t>
  </si>
  <si>
    <t>Adm/teknisk</t>
  </si>
  <si>
    <t>Stillingskategorier</t>
  </si>
  <si>
    <t>Stillingskategorier EU</t>
  </si>
  <si>
    <t>Lønnsberegninger</t>
  </si>
  <si>
    <t>Prosjektleder/adm.leder</t>
  </si>
  <si>
    <t>Forsker - professor</t>
  </si>
  <si>
    <t>Fra Buddy</t>
  </si>
  <si>
    <t>Forsker - 1.aman.</t>
  </si>
  <si>
    <t>Fra første budsjettår</t>
  </si>
  <si>
    <t>Inneværende år</t>
  </si>
  <si>
    <t>Forsker</t>
  </si>
  <si>
    <t xml:space="preserve"> ansatte under 60 år</t>
  </si>
  <si>
    <t>Ltr</t>
  </si>
  <si>
    <t>ART</t>
  </si>
  <si>
    <t>Multiplikator</t>
  </si>
  <si>
    <t>TOTALT</t>
  </si>
  <si>
    <t xml:space="preserve">Gjesteforsker </t>
  </si>
  <si>
    <t>NN</t>
  </si>
  <si>
    <t>Fast lønn</t>
  </si>
  <si>
    <t>faktor</t>
  </si>
  <si>
    <t>Feriepenge avsetning</t>
  </si>
  <si>
    <t>AGA ( av  Lønn/ Fp og Pensjon )</t>
  </si>
  <si>
    <t>AGA (Lønn høyere enn 750 000)</t>
  </si>
  <si>
    <t>Antatt lønnsjustering:</t>
  </si>
  <si>
    <t>2026 og frem</t>
  </si>
  <si>
    <t>2015-2018</t>
  </si>
  <si>
    <t>Lønnsjustering</t>
  </si>
  <si>
    <t>NFR</t>
  </si>
  <si>
    <t>Private</t>
  </si>
  <si>
    <t>Internasjonale</t>
  </si>
  <si>
    <t>Offentlige</t>
  </si>
  <si>
    <t>LTB_UiO</t>
  </si>
  <si>
    <t>Oversikt over endringer som er foretatt i budsjetteringsmalen (gjeldende fra 20/10/2014):</t>
  </si>
  <si>
    <t>Beskrivelse av endring</t>
  </si>
  <si>
    <t xml:space="preserve">Utført av </t>
  </si>
  <si>
    <t>Kommentarfeltene under drift på budsjettarkfanen er Wrap'et slik at lengre tekst legges seg på flere linjer.</t>
  </si>
  <si>
    <t>Terje</t>
  </si>
  <si>
    <t>lønnsvektst for 2015 oppdatert med 3%</t>
  </si>
  <si>
    <t xml:space="preserve">Terje </t>
  </si>
  <si>
    <t>Endret prosjektnummerserie til 651000 til 651998</t>
  </si>
  <si>
    <t>lønnsmultiplikatoren er oppdatert med lønnsvekst 2015, samt pensjonssatser.</t>
  </si>
  <si>
    <t xml:space="preserve">terje </t>
  </si>
  <si>
    <t>Malen er oppdatert med nye TDI-satser som et glidende gjennomsnitt av regnskapstall for hhv 2012, 2013 og 2014.</t>
  </si>
  <si>
    <t>Malen er oppdatert med nye lønnstabeller for 2015 og derfor null i lønnsvekst for 2015.</t>
  </si>
  <si>
    <t>terje</t>
  </si>
  <si>
    <t>Arkfanen "intern oversikt" er tilrettelagt slik at det "reelle nettobidraget" fremkommer - se budsjettarkfanen celle F67-69</t>
  </si>
  <si>
    <t>Endret på tilknytning til lønnsmultiplikatoren slik at søknadsmalen er i overensstemmelse med Buddy - små utslag!</t>
  </si>
  <si>
    <t>Malen er oppdatert nye TDI-satser for 2016 som et vektet snitt av årene 2013-2015.</t>
  </si>
  <si>
    <t>Lagt inn lønnstabell gjeldende fra mai 2016. Pga 2 ulike tariffavtaler i årets oppgjør er det den som gjelder Lo-stat, Unio og YS- stat som er lagt inn.</t>
  </si>
  <si>
    <t>Lønnmultiplikatoren er oppdatert med ny lønnstabell (se punkt over), samt endret pensjonssats.</t>
  </si>
  <si>
    <t>Arkfanene er tilpasset slik at innholdet kommer på 1 utskriftsside.</t>
  </si>
  <si>
    <t>Arkfanen "budsjett" er tilrettelagt slik at valg av stillingskategori i kolonne A automatisk grupperer seg inn i riktig stillingskategori iht EU sine krav i "Budsjett_ERC for the proposal"</t>
  </si>
  <si>
    <t>"Budsjett ERC for the proposal" - endret formel slik at lønnskostnadene per stillingskategorik inkluderer lønnsøkning (Periode 1 var i utgangspunktet kopiert over til de øvrige periodene)</t>
  </si>
  <si>
    <t xml:space="preserve">Timelønn er i "budget ERC for the proposal" summert under "other". Tidligere var timelønn utelatt fra summeringene under de respektive kategoriene. </t>
  </si>
  <si>
    <t xml:space="preserve">Malen er oppdatert med nye TDI satser for 2017, gjennomsnitt for årene 2014-2016  </t>
  </si>
  <si>
    <t xml:space="preserve">Lagt inn vedtatt valutapolicy som standard valutakurs, og mulighet for manuell overstyring. </t>
  </si>
  <si>
    <t>Mal oppdatert med ny lønnstabell og lønnsmultiplikator med nye pensjonssatser</t>
  </si>
  <si>
    <t xml:space="preserve">Iht vedtatt valutapolicy er forslag til valutakurs endret. Forslaget tar utgangspunkt i snittet fra 1. september 2015 til 1. september 2017 med fratrekk for 0,25 prosentpoeng i risikopremie. </t>
  </si>
  <si>
    <t>Valutakurs oppdatert og ny metode for beregning av lønnskostnader er implementert slik at det blir mer likt BOAPRO</t>
  </si>
  <si>
    <t>Ole Magnus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</si>
</sst>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_ * #,##0.00_ ;_ * \-#,##0.00_ ;_ * &quot;-&quot;??_ ;_ @_ "/>
    <numFmt numFmtId="165" formatCode="#,##0.000"/>
    <numFmt numFmtId="166" formatCode="[$-414]d/\ mmm\.\ yyyy;@"/>
    <numFmt numFmtId="167" formatCode="_ * #,##0_ ;_ * \-#,##0_ ;_ * &quot;-&quot;??_ ;_ @_ "/>
    <numFmt numFmtId="168" formatCode="_(* #,##0_);_(* \(#,##0\);_(* &quot;-&quot;??_);_(@_)"/>
    <numFmt numFmtId="169" formatCode="0.0"/>
    <numFmt numFmtId="170" formatCode="#,###,"/>
    <numFmt numFmtId="171" formatCode="0.000\ %"/>
    <numFmt numFmtId="172" formatCode="0.0\ %"/>
    <numFmt numFmtId="173" formatCode="&quot;kr&quot;\ #,##0"/>
    <numFmt numFmtId="174" formatCode="0.000"/>
  </numFmts>
  <fonts count="70"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i/>
      <sz val="8"/>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14"/>
      <name val="Calibri"/>
      <family val="2"/>
      <scheme val="minor"/>
    </font>
    <font>
      <sz val="8"/>
      <name val="Calibri"/>
      <family val="2"/>
      <scheme val="minor"/>
    </font>
    <font>
      <b/>
      <sz val="12"/>
      <name val="Calibri"/>
      <family val="2"/>
      <scheme val="minor"/>
    </font>
    <font>
      <b/>
      <sz val="16"/>
      <name val="Calibri"/>
      <family val="2"/>
      <scheme val="minor"/>
    </font>
    <font>
      <sz val="11"/>
      <color rgb="FF000000"/>
      <name val="Calibri"/>
      <family val="2"/>
    </font>
    <font>
      <b/>
      <sz val="14"/>
      <color theme="1"/>
      <name val="Calibri"/>
      <family val="2"/>
      <scheme val="minor"/>
    </font>
    <font>
      <i/>
      <sz val="8"/>
      <name val="Arial"/>
      <family val="2"/>
    </font>
    <font>
      <i/>
      <sz val="11"/>
      <name val="Calibri"/>
      <family val="2"/>
      <scheme val="minor"/>
    </font>
    <font>
      <sz val="8"/>
      <color theme="1"/>
      <name val="Calibri"/>
      <family val="2"/>
      <scheme val="minor"/>
    </font>
    <font>
      <b/>
      <sz val="9"/>
      <color indexed="81"/>
      <name val="Tahoma"/>
      <family val="2"/>
    </font>
    <font>
      <sz val="9"/>
      <color indexed="81"/>
      <name val="Tahoma"/>
      <family val="2"/>
    </font>
    <font>
      <sz val="12"/>
      <name val="Calibri"/>
      <family val="2"/>
      <scheme val="minor"/>
    </font>
    <font>
      <sz val="12"/>
      <color theme="1"/>
      <name val="Calibri"/>
      <family val="2"/>
      <scheme val="minor"/>
    </font>
    <font>
      <sz val="10"/>
      <name val="Calibri"/>
      <family val="2"/>
    </font>
    <font>
      <sz val="12"/>
      <color rgb="FF0070C0"/>
      <name val="Arial"/>
      <family val="2"/>
    </font>
    <font>
      <b/>
      <sz val="12"/>
      <color theme="1"/>
      <name val="Calibri"/>
      <family val="2"/>
      <scheme val="minor"/>
    </font>
    <font>
      <b/>
      <sz val="12"/>
      <name val="Times New Roman"/>
      <family val="1"/>
    </font>
    <font>
      <sz val="12"/>
      <name val="Times New Roman"/>
      <family val="1"/>
    </font>
    <font>
      <i/>
      <sz val="12"/>
      <name val="Times New Roman"/>
      <family val="1"/>
    </font>
    <font>
      <vertAlign val="superscript"/>
      <sz val="12"/>
      <name val="Times New Roman"/>
      <family val="1"/>
    </font>
    <font>
      <sz val="10"/>
      <name val="Times New Roman"/>
      <family val="1"/>
    </font>
    <font>
      <vertAlign val="superscript"/>
      <sz val="10"/>
      <name val="Times New Roman"/>
      <family val="1"/>
    </font>
    <font>
      <b/>
      <sz val="10"/>
      <name val="Times New Roman"/>
      <family val="1"/>
    </font>
    <font>
      <i/>
      <sz val="10"/>
      <name val="Times New Roman"/>
      <family val="1"/>
    </font>
    <font>
      <sz val="10"/>
      <color rgb="FFFFFF00"/>
      <name val="Arial"/>
      <family val="2"/>
    </font>
    <font>
      <sz val="10"/>
      <color rgb="FFFF0000"/>
      <name val="Arial"/>
      <family val="2"/>
    </font>
    <font>
      <sz val="11"/>
      <color theme="0"/>
      <name val="Calibri"/>
      <family val="2"/>
      <scheme val="minor"/>
    </font>
    <font>
      <sz val="11"/>
      <name val="Calibri"/>
      <family val="2"/>
    </font>
    <font>
      <sz val="10"/>
      <name val="Times"/>
      <family val="1"/>
    </font>
    <font>
      <sz val="10"/>
      <name val="Times"/>
      <family val="1"/>
    </font>
    <font>
      <b/>
      <sz val="11"/>
      <name val="Arial"/>
      <family val="2"/>
    </font>
    <font>
      <sz val="10"/>
      <name val="Times"/>
      <family val="1"/>
    </font>
    <font>
      <sz val="10"/>
      <name val="MS Sans Serif"/>
      <family val="2"/>
    </font>
    <font>
      <b/>
      <i/>
      <sz val="11"/>
      <color theme="1"/>
      <name val="Calibri"/>
      <family val="2"/>
      <scheme val="minor"/>
    </font>
    <font>
      <b/>
      <sz val="11"/>
      <color rgb="FFFF0000"/>
      <name val="Calibri"/>
      <family val="2"/>
      <scheme val="minor"/>
    </font>
    <font>
      <sz val="8"/>
      <name val="Arial"/>
    </font>
    <font>
      <sz val="9"/>
      <color indexed="81"/>
      <name val="Tahoma"/>
      <charset val="1"/>
    </font>
    <font>
      <sz val="11"/>
      <color indexed="81"/>
      <name val="Tahoma"/>
      <family val="2"/>
    </font>
  </fonts>
  <fills count="22">
    <fill>
      <patternFill patternType="none"/>
    </fill>
    <fill>
      <patternFill patternType="gray125"/>
    </fill>
    <fill>
      <patternFill patternType="solid">
        <fgColor indexed="13"/>
        <bgColor indexed="64"/>
      </patternFill>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39997558519241921"/>
        <bgColor theme="4" tint="0.79998168889431442"/>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4" tint="0.3999755851924192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3" tint="0.59999389629810485"/>
        <bgColor indexed="64"/>
      </patternFill>
    </fill>
    <fill>
      <patternFill patternType="solid">
        <fgColor theme="2" tint="-9.9978637043366805E-2"/>
        <bgColor indexed="64"/>
      </patternFill>
    </fill>
    <fill>
      <patternFill patternType="solid">
        <fgColor rgb="FF00B050"/>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rgb="FFFFFF00"/>
        <bgColor indexed="64"/>
      </patternFill>
    </fill>
    <fill>
      <patternFill patternType="solid">
        <fgColor theme="7" tint="0.79998168889431442"/>
        <bgColor indexed="64"/>
      </patternFill>
    </fill>
  </fills>
  <borders count="1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right style="thin">
        <color theme="4" tint="0.39982299264503923"/>
      </right>
      <top/>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style="thin">
        <color rgb="FFB2B2B2"/>
      </right>
      <top/>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medium">
        <color rgb="FFE4E4E4"/>
      </left>
      <right style="medium">
        <color rgb="FFE4E4E4"/>
      </right>
      <top style="medium">
        <color rgb="FFE4E4E4"/>
      </top>
      <bottom style="medium">
        <color rgb="FFE4E4E4"/>
      </bottom>
      <diagonal/>
    </border>
    <border>
      <left style="thin">
        <color rgb="FFB2B2B2"/>
      </left>
      <right style="thin">
        <color rgb="FFB2B2B2"/>
      </right>
      <top style="thin">
        <color indexed="22"/>
      </top>
      <bottom style="thin">
        <color rgb="FFB2B2B2"/>
      </bottom>
      <diagonal/>
    </border>
    <border>
      <left style="thin">
        <color theme="4" tint="0.39994506668294322"/>
      </left>
      <right style="thin">
        <color theme="4" tint="0.39994506668294322"/>
      </right>
      <top/>
      <bottom style="thin">
        <color theme="4" tint="0.39994506668294322"/>
      </bottom>
      <diagonal/>
    </border>
    <border>
      <left style="thin">
        <color rgb="FFB2B2B2"/>
      </left>
      <right style="thin">
        <color rgb="FFB2B2B2"/>
      </right>
      <top style="thin">
        <color rgb="FFB2B2B2"/>
      </top>
      <bottom style="thin">
        <color indexed="22"/>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bottom style="thin">
        <color rgb="FFB2B2B2"/>
      </bottom>
      <diagonal/>
    </border>
    <border>
      <left/>
      <right style="thin">
        <color theme="0" tint="-0.24994659260841701"/>
      </right>
      <top style="thin">
        <color rgb="FFB2B2B2"/>
      </top>
      <bottom/>
      <diagonal/>
    </border>
    <border>
      <left/>
      <right style="thin">
        <color theme="0" tint="-0.24994659260841701"/>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tint="-0.24994659260841701"/>
      </left>
      <right style="thin">
        <color theme="0" tint="-0.24994659260841701"/>
      </right>
      <top style="thin">
        <color indexed="64"/>
      </top>
      <bottom style="thin">
        <color theme="0" tint="-0.24994659260841701"/>
      </bottom>
      <diagonal/>
    </border>
    <border>
      <left style="thin">
        <color indexed="64"/>
      </left>
      <right style="thin">
        <color rgb="FFB2B2B2"/>
      </right>
      <top/>
      <bottom style="thin">
        <color indexed="22"/>
      </bottom>
      <diagonal/>
    </border>
    <border>
      <left style="thin">
        <color theme="4" tint="0.39994506668294322"/>
      </left>
      <right style="thin">
        <color indexed="64"/>
      </right>
      <top style="thin">
        <color indexed="64"/>
      </top>
      <bottom style="thin">
        <color theme="4" tint="0.39994506668294322"/>
      </bottom>
      <diagonal/>
    </border>
    <border>
      <left style="thin">
        <color rgb="FFB2B2B2"/>
      </left>
      <right style="thin">
        <color indexed="64"/>
      </right>
      <top style="thin">
        <color rgb="FFB2B2B2"/>
      </top>
      <bottom style="thin">
        <color rgb="FFB2B2B2"/>
      </bottom>
      <diagonal/>
    </border>
    <border>
      <left style="thin">
        <color theme="4" tint="0.39994506668294322"/>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double">
        <color indexed="64"/>
      </right>
      <top style="medium">
        <color indexed="64"/>
      </top>
      <bottom/>
      <diagonal/>
    </border>
    <border>
      <left style="medium">
        <color indexed="64"/>
      </left>
      <right style="medium">
        <color indexed="64"/>
      </right>
      <top style="medium">
        <color indexed="64"/>
      </top>
      <bottom style="double">
        <color indexed="64"/>
      </bottom>
      <diagonal/>
    </border>
    <border>
      <left/>
      <right style="medium">
        <color indexed="64"/>
      </right>
      <top style="medium">
        <color indexed="64"/>
      </top>
      <bottom style="double">
        <color indexed="64"/>
      </bottom>
      <diagonal/>
    </border>
    <border>
      <left/>
      <right style="double">
        <color indexed="64"/>
      </right>
      <top style="medium">
        <color indexed="64"/>
      </top>
      <bottom style="medium">
        <color indexed="64"/>
      </bottom>
      <diagonal/>
    </border>
    <border>
      <left style="medium">
        <color indexed="64"/>
      </left>
      <right style="double">
        <color indexed="64"/>
      </right>
      <top style="medium">
        <color indexed="64"/>
      </top>
      <bottom style="double">
        <color indexed="64"/>
      </bottom>
      <diagonal/>
    </border>
    <border>
      <left/>
      <right style="double">
        <color indexed="64"/>
      </right>
      <top style="double">
        <color indexed="64"/>
      </top>
      <bottom/>
      <diagonal/>
    </border>
    <border>
      <left style="double">
        <color indexed="64"/>
      </left>
      <right/>
      <top style="medium">
        <color indexed="64"/>
      </top>
      <bottom style="medium">
        <color indexed="64"/>
      </bottom>
      <diagonal/>
    </border>
    <border>
      <left style="double">
        <color indexed="64"/>
      </left>
      <right/>
      <top style="medium">
        <color indexed="64"/>
      </top>
      <bottom/>
      <diagonal/>
    </border>
    <border>
      <left style="double">
        <color indexed="64"/>
      </left>
      <right/>
      <top/>
      <bottom/>
      <diagonal/>
    </border>
    <border>
      <left style="double">
        <color indexed="64"/>
      </left>
      <right/>
      <top style="medium">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medium">
        <color indexed="64"/>
      </top>
      <bottom style="double">
        <color indexed="64"/>
      </bottom>
      <diagonal/>
    </border>
    <border>
      <left style="medium">
        <color indexed="64"/>
      </left>
      <right style="medium">
        <color indexed="64"/>
      </right>
      <top/>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double">
        <color indexed="64"/>
      </right>
      <top style="medium">
        <color indexed="64"/>
      </top>
      <bottom style="medium">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style="thin">
        <color indexed="64"/>
      </right>
      <top style="medium">
        <color indexed="64"/>
      </top>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thin">
        <color auto="1"/>
      </top>
      <bottom/>
      <diagonal/>
    </border>
  </borders>
  <cellStyleXfs count="186">
    <xf numFmtId="0" fontId="0" fillId="0" borderId="0"/>
    <xf numFmtId="164" fontId="15" fillId="0" borderId="0" applyFont="0" applyFill="0" applyBorder="0" applyAlignment="0" applyProtection="0"/>
    <xf numFmtId="166" fontId="14" fillId="0" borderId="0" applyFont="0" applyFill="0" applyBorder="0" applyAlignment="0" applyProtection="0"/>
    <xf numFmtId="0" fontId="19" fillId="0" borderId="0" applyNumberFormat="0" applyFill="0" applyBorder="0" applyAlignment="0" applyProtection="0">
      <alignment vertical="top"/>
      <protection locked="0"/>
    </xf>
    <xf numFmtId="0" fontId="14" fillId="0" borderId="0"/>
    <xf numFmtId="9" fontId="15" fillId="0" borderId="0" applyFont="0" applyFill="0" applyBorder="0" applyAlignment="0" applyProtection="0"/>
    <xf numFmtId="9" fontId="14" fillId="0" borderId="0" applyFont="0" applyFill="0" applyBorder="0" applyAlignment="0" applyProtection="0"/>
    <xf numFmtId="0" fontId="20" fillId="3" borderId="11" applyNumberFormat="0" applyFont="0" applyAlignment="0" applyProtection="0"/>
    <xf numFmtId="0" fontId="10" fillId="0" borderId="0"/>
    <xf numFmtId="164" fontId="10" fillId="0" borderId="0" applyFont="0" applyFill="0" applyBorder="0" applyAlignment="0" applyProtection="0"/>
    <xf numFmtId="164" fontId="25" fillId="0" borderId="0" applyFont="0" applyFill="0" applyBorder="0" applyAlignment="0" applyProtection="0"/>
    <xf numFmtId="0" fontId="36" fillId="0" borderId="0"/>
    <xf numFmtId="0" fontId="8" fillId="0" borderId="0"/>
    <xf numFmtId="0" fontId="60" fillId="0" borderId="0"/>
    <xf numFmtId="9" fontId="61" fillId="0" borderId="0" applyFont="0" applyFill="0" applyBorder="0" applyAlignment="0" applyProtection="0"/>
    <xf numFmtId="0" fontId="7" fillId="0" borderId="0"/>
    <xf numFmtId="0" fontId="7" fillId="0" borderId="0"/>
    <xf numFmtId="0" fontId="63" fillId="0" borderId="0"/>
    <xf numFmtId="9" fontId="60" fillId="0" borderId="0" applyFont="0" applyFill="0" applyBorder="0" applyAlignment="0" applyProtection="0"/>
    <xf numFmtId="0" fontId="6" fillId="0" borderId="0"/>
    <xf numFmtId="0" fontId="6" fillId="0" borderId="0"/>
    <xf numFmtId="0" fontId="6" fillId="0" borderId="0"/>
    <xf numFmtId="0" fontId="64" fillId="0" borderId="0"/>
    <xf numFmtId="0" fontId="6" fillId="0" borderId="0"/>
    <xf numFmtId="164" fontId="14" fillId="0" borderId="0" applyFont="0" applyFill="0" applyBorder="0" applyAlignment="0" applyProtection="0"/>
    <xf numFmtId="0" fontId="14" fillId="3" borderId="11" applyNumberFormat="0" applyFont="0" applyAlignment="0" applyProtection="0"/>
    <xf numFmtId="0" fontId="5" fillId="0" borderId="0"/>
    <xf numFmtId="164" fontId="5" fillId="0" borderId="0" applyFont="0" applyFill="0" applyBorder="0" applyAlignment="0" applyProtection="0"/>
    <xf numFmtId="0" fontId="5" fillId="0" borderId="0"/>
    <xf numFmtId="9" fontId="60" fillId="0" borderId="0" applyFont="0" applyFill="0" applyBorder="0" applyAlignment="0" applyProtection="0"/>
    <xf numFmtId="0" fontId="5" fillId="0" borderId="0"/>
    <xf numFmtId="0" fontId="5" fillId="0" borderId="0"/>
    <xf numFmtId="164" fontId="14" fillId="0" borderId="0" applyFont="0" applyFill="0" applyBorder="0" applyAlignment="0" applyProtection="0"/>
    <xf numFmtId="0" fontId="14" fillId="3" borderId="11" applyNumberFormat="0" applyFont="0" applyAlignment="0" applyProtection="0"/>
    <xf numFmtId="0" fontId="5" fillId="0" borderId="0"/>
    <xf numFmtId="164" fontId="5" fillId="0" borderId="0" applyFont="0" applyFill="0" applyBorder="0" applyAlignment="0" applyProtection="0"/>
    <xf numFmtId="0" fontId="5" fillId="0" borderId="0"/>
    <xf numFmtId="0" fontId="5" fillId="0" borderId="0"/>
    <xf numFmtId="0" fontId="5" fillId="0" borderId="0"/>
    <xf numFmtId="0" fontId="60" fillId="0" borderId="0"/>
    <xf numFmtId="0" fontId="5" fillId="0" borderId="0"/>
    <xf numFmtId="0" fontId="5" fillId="0" borderId="0"/>
    <xf numFmtId="0" fontId="5" fillId="0" borderId="0"/>
    <xf numFmtId="0" fontId="64" fillId="0" borderId="0"/>
    <xf numFmtId="0" fontId="5" fillId="0" borderId="0"/>
    <xf numFmtId="164" fontId="60" fillId="0" borderId="0" applyFont="0" applyFill="0" applyBorder="0" applyAlignment="0" applyProtection="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9" fontId="60" fillId="0" borderId="0" applyFont="0" applyFill="0" applyBorder="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9" fontId="60" fillId="0" borderId="0" applyFont="0" applyFill="0" applyBorder="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60"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64"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9" fontId="60" fillId="0" borderId="0" applyFont="0" applyFill="0" applyBorder="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64"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2" fillId="0" borderId="0"/>
    <xf numFmtId="9" fontId="2" fillId="0" borderId="0" applyFont="0" applyFill="0" applyBorder="0" applyAlignment="0" applyProtection="0"/>
  </cellStyleXfs>
  <cellXfs count="608">
    <xf numFmtId="0" fontId="0" fillId="0" borderId="0" xfId="0"/>
    <xf numFmtId="0" fontId="0" fillId="0" borderId="0" xfId="0" applyProtection="1"/>
    <xf numFmtId="165" fontId="0" fillId="0" borderId="0" xfId="0" applyNumberFormat="1" applyProtection="1"/>
    <xf numFmtId="0" fontId="11" fillId="0" borderId="0" xfId="4" applyFont="1"/>
    <xf numFmtId="0" fontId="12" fillId="0" borderId="0" xfId="4" applyFont="1" applyBorder="1"/>
    <xf numFmtId="0" fontId="14" fillId="0" borderId="0" xfId="0" applyFont="1"/>
    <xf numFmtId="0" fontId="12" fillId="0" borderId="0" xfId="4" applyFont="1"/>
    <xf numFmtId="0" fontId="12" fillId="0" borderId="1" xfId="4" applyFont="1" applyBorder="1" applyAlignment="1">
      <alignment horizontal="center"/>
    </xf>
    <xf numFmtId="3" fontId="12" fillId="0" borderId="1" xfId="4" applyNumberFormat="1" applyFont="1" applyBorder="1"/>
    <xf numFmtId="0" fontId="12" fillId="0" borderId="0" xfId="4" applyFont="1" applyAlignment="1">
      <alignment horizontal="center"/>
    </xf>
    <xf numFmtId="0" fontId="12" fillId="0" borderId="1" xfId="4" applyFont="1" applyBorder="1"/>
    <xf numFmtId="3" fontId="12" fillId="0" borderId="1" xfId="4" applyNumberFormat="1" applyFont="1" applyBorder="1" applyAlignment="1">
      <alignment horizontal="center"/>
    </xf>
    <xf numFmtId="3" fontId="12" fillId="0" borderId="0" xfId="4" applyNumberFormat="1" applyFont="1" applyBorder="1"/>
    <xf numFmtId="0" fontId="17" fillId="0" borderId="0" xfId="0" applyFont="1" applyProtection="1"/>
    <xf numFmtId="0" fontId="18" fillId="0" borderId="0" xfId="0" applyFont="1"/>
    <xf numFmtId="0" fontId="0" fillId="0" borderId="0" xfId="0" applyBorder="1"/>
    <xf numFmtId="168" fontId="12" fillId="0" borderId="2" xfId="2" applyNumberFormat="1" applyFont="1" applyFill="1" applyBorder="1" applyProtection="1"/>
    <xf numFmtId="0" fontId="13" fillId="0" borderId="0" xfId="0" applyFont="1"/>
    <xf numFmtId="165" fontId="12" fillId="0" borderId="0" xfId="0" applyNumberFormat="1" applyFont="1" applyProtection="1"/>
    <xf numFmtId="165" fontId="12" fillId="0" borderId="0" xfId="4" applyNumberFormat="1" applyFont="1" applyBorder="1"/>
    <xf numFmtId="0" fontId="23" fillId="0" borderId="0" xfId="8" applyFont="1"/>
    <xf numFmtId="3" fontId="24" fillId="0" borderId="13" xfId="9" applyNumberFormat="1" applyFont="1" applyFill="1" applyBorder="1" applyAlignment="1" applyProtection="1">
      <alignment horizontal="right"/>
    </xf>
    <xf numFmtId="167" fontId="24" fillId="0" borderId="16" xfId="10" applyNumberFormat="1" applyFont="1" applyFill="1" applyBorder="1" applyAlignment="1" applyProtection="1">
      <alignment horizontal="center"/>
    </xf>
    <xf numFmtId="3" fontId="24" fillId="0" borderId="0" xfId="9" applyNumberFormat="1" applyFont="1" applyFill="1" applyBorder="1" applyAlignment="1" applyProtection="1">
      <alignment horizontal="right"/>
    </xf>
    <xf numFmtId="167" fontId="24" fillId="0" borderId="16" xfId="10" applyNumberFormat="1" applyFont="1" applyFill="1" applyBorder="1" applyAlignment="1" applyProtection="1"/>
    <xf numFmtId="3" fontId="26" fillId="0" borderId="13" xfId="9" applyNumberFormat="1" applyFont="1" applyFill="1" applyBorder="1" applyAlignment="1" applyProtection="1">
      <alignment horizontal="right"/>
    </xf>
    <xf numFmtId="167" fontId="24" fillId="0" borderId="17" xfId="10" applyNumberFormat="1" applyFont="1" applyFill="1" applyBorder="1" applyAlignment="1" applyProtection="1"/>
    <xf numFmtId="167" fontId="24" fillId="0" borderId="18" xfId="10" applyNumberFormat="1" applyFont="1" applyFill="1" applyBorder="1" applyAlignment="1" applyProtection="1"/>
    <xf numFmtId="0" fontId="28" fillId="0" borderId="0" xfId="8" applyFont="1"/>
    <xf numFmtId="3" fontId="23" fillId="4" borderId="19" xfId="8" applyNumberFormat="1" applyFont="1" applyFill="1" applyBorder="1" applyAlignment="1">
      <alignment horizontal="center" wrapText="1"/>
    </xf>
    <xf numFmtId="0" fontId="21" fillId="6" borderId="20" xfId="8" applyFont="1" applyFill="1" applyBorder="1" applyAlignment="1">
      <alignment horizontal="left" indent="1"/>
    </xf>
    <xf numFmtId="0" fontId="21" fillId="8" borderId="21" xfId="8" applyFont="1" applyFill="1" applyBorder="1"/>
    <xf numFmtId="167" fontId="21" fillId="8" borderId="21" xfId="8" applyNumberFormat="1" applyFont="1" applyFill="1" applyBorder="1"/>
    <xf numFmtId="167" fontId="26" fillId="9" borderId="12" xfId="9" applyNumberFormat="1" applyFont="1" applyFill="1" applyBorder="1"/>
    <xf numFmtId="167" fontId="26" fillId="7" borderId="23" xfId="9" applyNumberFormat="1" applyFont="1" applyFill="1" applyBorder="1"/>
    <xf numFmtId="167" fontId="24" fillId="7" borderId="23" xfId="9" applyNumberFormat="1" applyFont="1" applyFill="1" applyBorder="1"/>
    <xf numFmtId="0" fontId="29" fillId="0" borderId="0" xfId="0" applyFont="1" applyAlignment="1">
      <alignment horizontal="left" vertical="center" indent="2"/>
    </xf>
    <xf numFmtId="0" fontId="30" fillId="0" borderId="28" xfId="0" applyFont="1" applyBorder="1" applyAlignment="1">
      <alignment horizontal="left" vertical="center"/>
    </xf>
    <xf numFmtId="167" fontId="21" fillId="8" borderId="30" xfId="8" applyNumberFormat="1" applyFont="1" applyFill="1" applyBorder="1"/>
    <xf numFmtId="167" fontId="24" fillId="0" borderId="29" xfId="10" applyNumberFormat="1" applyFont="1" applyFill="1" applyBorder="1" applyAlignment="1" applyProtection="1">
      <alignment horizontal="center"/>
    </xf>
    <xf numFmtId="167" fontId="24" fillId="0" borderId="11" xfId="10" applyNumberFormat="1" applyFont="1" applyFill="1" applyBorder="1" applyAlignment="1" applyProtection="1">
      <alignment horizontal="center"/>
    </xf>
    <xf numFmtId="167" fontId="24" fillId="0" borderId="31" xfId="10" applyNumberFormat="1" applyFont="1" applyFill="1" applyBorder="1" applyAlignment="1" applyProtection="1">
      <alignment horizontal="center"/>
    </xf>
    <xf numFmtId="0" fontId="9" fillId="0" borderId="0" xfId="8" applyFont="1"/>
    <xf numFmtId="167" fontId="24" fillId="0" borderId="24" xfId="1" applyNumberFormat="1" applyFont="1" applyFill="1" applyBorder="1" applyProtection="1"/>
    <xf numFmtId="0" fontId="31" fillId="0" borderId="0" xfId="0" applyFont="1" applyProtection="1"/>
    <xf numFmtId="0" fontId="27" fillId="0" borderId="0" xfId="0" applyFont="1" applyProtection="1"/>
    <xf numFmtId="0" fontId="32" fillId="0" borderId="0" xfId="0" applyFont="1" applyProtection="1"/>
    <xf numFmtId="0" fontId="27" fillId="0" borderId="0" xfId="0" applyFont="1" applyBorder="1" applyAlignment="1" applyProtection="1"/>
    <xf numFmtId="0" fontId="27" fillId="0" borderId="0" xfId="0" applyFont="1"/>
    <xf numFmtId="0" fontId="26" fillId="0" borderId="0" xfId="0" applyFont="1" applyProtection="1"/>
    <xf numFmtId="0" fontId="33" fillId="0" borderId="0" xfId="4" applyFont="1"/>
    <xf numFmtId="0" fontId="31" fillId="0" borderId="8" xfId="0" applyNumberFormat="1" applyFont="1" applyBorder="1" applyAlignment="1" applyProtection="1">
      <alignment horizontal="center"/>
    </xf>
    <xf numFmtId="0" fontId="27" fillId="0" borderId="1" xfId="0" applyFont="1" applyBorder="1" applyProtection="1"/>
    <xf numFmtId="167" fontId="27" fillId="0" borderId="1" xfId="1" applyNumberFormat="1" applyFont="1" applyBorder="1" applyProtection="1"/>
    <xf numFmtId="0" fontId="31" fillId="0" borderId="0" xfId="0" applyFont="1" applyAlignment="1" applyProtection="1">
      <alignment horizontal="center"/>
    </xf>
    <xf numFmtId="0" fontId="34" fillId="0" borderId="0" xfId="0" applyFont="1" applyProtection="1"/>
    <xf numFmtId="3" fontId="27" fillId="5" borderId="1" xfId="4" applyNumberFormat="1" applyFont="1" applyFill="1" applyBorder="1" applyProtection="1">
      <protection locked="0"/>
    </xf>
    <xf numFmtId="0" fontId="35" fillId="0" borderId="0" xfId="0" applyFont="1" applyProtection="1"/>
    <xf numFmtId="3" fontId="27" fillId="0" borderId="0" xfId="0" applyNumberFormat="1" applyFont="1" applyProtection="1"/>
    <xf numFmtId="0" fontId="33" fillId="0" borderId="1" xfId="4" applyFont="1" applyBorder="1" applyAlignment="1">
      <alignment horizontal="center" wrapText="1"/>
    </xf>
    <xf numFmtId="0" fontId="33" fillId="0" borderId="1" xfId="4" applyFont="1" applyBorder="1" applyAlignment="1">
      <alignment horizontal="center"/>
    </xf>
    <xf numFmtId="167" fontId="27" fillId="0" borderId="0" xfId="0" applyNumberFormat="1" applyFont="1" applyProtection="1"/>
    <xf numFmtId="0" fontId="32" fillId="0" borderId="0" xfId="0" applyFont="1" applyAlignment="1" applyProtection="1">
      <alignment horizontal="right"/>
    </xf>
    <xf numFmtId="0" fontId="26" fillId="0" borderId="0" xfId="0" applyFont="1" applyAlignment="1" applyProtection="1">
      <alignment horizontal="right"/>
    </xf>
    <xf numFmtId="9" fontId="24" fillId="0" borderId="24" xfId="5" applyFont="1" applyFill="1" applyBorder="1" applyProtection="1"/>
    <xf numFmtId="9" fontId="27" fillId="0" borderId="0" xfId="5" applyNumberFormat="1" applyFont="1" applyProtection="1"/>
    <xf numFmtId="0" fontId="24" fillId="2" borderId="24" xfId="0" applyFont="1" applyFill="1" applyBorder="1" applyAlignment="1" applyProtection="1">
      <alignment horizontal="left"/>
      <protection locked="0"/>
    </xf>
    <xf numFmtId="0" fontId="28" fillId="0" borderId="0" xfId="8" applyFont="1" applyFill="1"/>
    <xf numFmtId="0" fontId="23" fillId="0" borderId="0" xfId="8" applyFont="1" applyFill="1"/>
    <xf numFmtId="0" fontId="8" fillId="0" borderId="0" xfId="8" applyFont="1"/>
    <xf numFmtId="0" fontId="32" fillId="10" borderId="0" xfId="0" applyFont="1" applyFill="1" applyProtection="1"/>
    <xf numFmtId="0" fontId="24" fillId="0" borderId="0" xfId="0" applyNumberFormat="1" applyFont="1" applyFill="1" applyAlignment="1" applyProtection="1">
      <alignment horizontal="left"/>
    </xf>
    <xf numFmtId="0" fontId="24" fillId="0" borderId="0" xfId="0" applyFont="1" applyFill="1" applyProtection="1"/>
    <xf numFmtId="14" fontId="24" fillId="0" borderId="0" xfId="0" applyNumberFormat="1" applyFont="1" applyFill="1" applyProtection="1"/>
    <xf numFmtId="0" fontId="24" fillId="0" borderId="0" xfId="0" applyFont="1" applyAlignment="1" applyProtection="1">
      <alignment horizontal="right"/>
    </xf>
    <xf numFmtId="167" fontId="24" fillId="0" borderId="47" xfId="10" applyNumberFormat="1" applyFont="1" applyFill="1" applyBorder="1" applyAlignment="1" applyProtection="1">
      <alignment horizontal="center"/>
    </xf>
    <xf numFmtId="0" fontId="37" fillId="0" borderId="0" xfId="8" applyFont="1" applyFill="1"/>
    <xf numFmtId="0" fontId="23" fillId="0" borderId="0" xfId="0" applyFont="1"/>
    <xf numFmtId="3" fontId="0" fillId="0" borderId="0" xfId="0" applyNumberFormat="1"/>
    <xf numFmtId="3" fontId="23" fillId="4" borderId="19" xfId="8" applyNumberFormat="1" applyFont="1" applyFill="1" applyBorder="1" applyAlignment="1">
      <alignment horizontal="left"/>
    </xf>
    <xf numFmtId="0" fontId="24" fillId="0" borderId="0" xfId="0" applyFont="1" applyAlignment="1" applyProtection="1"/>
    <xf numFmtId="0" fontId="26" fillId="0" borderId="0" xfId="0" applyFont="1" applyAlignment="1" applyProtection="1"/>
    <xf numFmtId="0" fontId="26" fillId="0" borderId="0" xfId="0" applyFont="1" applyFill="1" applyProtection="1"/>
    <xf numFmtId="0" fontId="24" fillId="0" borderId="0" xfId="0" applyFont="1" applyAlignment="1" applyProtection="1">
      <alignment horizontal="right" indent="1"/>
    </xf>
    <xf numFmtId="167" fontId="27" fillId="0" borderId="0" xfId="1" applyNumberFormat="1" applyFont="1" applyProtection="1"/>
    <xf numFmtId="167" fontId="26" fillId="0" borderId="15" xfId="10" applyNumberFormat="1" applyFont="1" applyFill="1" applyBorder="1" applyAlignment="1" applyProtection="1">
      <alignment horizontal="center"/>
    </xf>
    <xf numFmtId="0" fontId="26" fillId="0" borderId="15" xfId="10" applyNumberFormat="1" applyFont="1" applyFill="1" applyBorder="1" applyAlignment="1" applyProtection="1">
      <alignment horizontal="center"/>
    </xf>
    <xf numFmtId="167" fontId="26" fillId="0" borderId="14" xfId="10" applyNumberFormat="1" applyFont="1" applyFill="1" applyBorder="1" applyAlignment="1" applyProtection="1">
      <alignment horizontal="center"/>
    </xf>
    <xf numFmtId="167" fontId="0" fillId="0" borderId="0" xfId="1" applyNumberFormat="1" applyFont="1"/>
    <xf numFmtId="0" fontId="13" fillId="0" borderId="8" xfId="0" applyFont="1" applyBorder="1" applyAlignment="1">
      <alignment horizontal="center"/>
    </xf>
    <xf numFmtId="0" fontId="11" fillId="0" borderId="0" xfId="0" applyFont="1"/>
    <xf numFmtId="170" fontId="0" fillId="0" borderId="0" xfId="1" applyNumberFormat="1" applyFont="1"/>
    <xf numFmtId="170" fontId="21" fillId="8" borderId="21" xfId="8" applyNumberFormat="1" applyFont="1" applyFill="1" applyBorder="1"/>
    <xf numFmtId="167" fontId="24" fillId="0" borderId="17" xfId="10" applyNumberFormat="1" applyFont="1" applyFill="1" applyBorder="1" applyAlignment="1" applyProtection="1">
      <alignment horizontal="center"/>
    </xf>
    <xf numFmtId="0" fontId="27" fillId="0" borderId="0" xfId="0" applyFont="1" applyBorder="1" applyProtection="1"/>
    <xf numFmtId="0" fontId="0" fillId="0" borderId="0" xfId="0" applyAlignment="1">
      <alignment horizontal="right"/>
    </xf>
    <xf numFmtId="170" fontId="0" fillId="0" borderId="0" xfId="0" applyNumberFormat="1"/>
    <xf numFmtId="170" fontId="14" fillId="0" borderId="0" xfId="1" applyNumberFormat="1" applyFont="1"/>
    <xf numFmtId="167" fontId="24" fillId="0" borderId="16" xfId="10" applyNumberFormat="1" applyFont="1" applyFill="1" applyBorder="1" applyAlignment="1" applyProtection="1">
      <protection locked="0"/>
    </xf>
    <xf numFmtId="0" fontId="12" fillId="0" borderId="0" xfId="0" applyFont="1"/>
    <xf numFmtId="164" fontId="21" fillId="8" borderId="21" xfId="8" applyNumberFormat="1" applyFont="1" applyFill="1" applyBorder="1"/>
    <xf numFmtId="164" fontId="21" fillId="8" borderId="30" xfId="1" applyNumberFormat="1" applyFont="1" applyFill="1" applyBorder="1"/>
    <xf numFmtId="164" fontId="24" fillId="0" borderId="16" xfId="1" applyNumberFormat="1" applyFont="1" applyFill="1" applyBorder="1" applyAlignment="1" applyProtection="1">
      <alignment horizontal="center"/>
    </xf>
    <xf numFmtId="164" fontId="24" fillId="0" borderId="29" xfId="1" applyNumberFormat="1" applyFont="1" applyFill="1" applyBorder="1" applyAlignment="1" applyProtection="1">
      <alignment horizontal="center"/>
    </xf>
    <xf numFmtId="167" fontId="38" fillId="0" borderId="0" xfId="1" applyNumberFormat="1" applyFont="1" applyFill="1" applyBorder="1" applyAlignment="1" applyProtection="1">
      <alignment horizontal="right"/>
    </xf>
    <xf numFmtId="0" fontId="38" fillId="0" borderId="0" xfId="1" applyNumberFormat="1" applyFont="1" applyFill="1" applyBorder="1" applyAlignment="1" applyProtection="1"/>
    <xf numFmtId="10" fontId="12" fillId="0" borderId="0" xfId="7" applyNumberFormat="1" applyFont="1" applyFill="1" applyBorder="1" applyAlignment="1" applyProtection="1">
      <alignment horizontal="right"/>
    </xf>
    <xf numFmtId="0" fontId="38" fillId="0" borderId="0" xfId="1" applyNumberFormat="1" applyFont="1" applyFill="1" applyBorder="1" applyAlignment="1" applyProtection="1">
      <alignment horizontal="right"/>
    </xf>
    <xf numFmtId="165" fontId="12" fillId="0" borderId="0" xfId="0" applyNumberFormat="1" applyFont="1" applyAlignment="1" applyProtection="1">
      <alignment horizontal="right"/>
    </xf>
    <xf numFmtId="3" fontId="31" fillId="0" borderId="0" xfId="0" applyNumberFormat="1" applyFont="1" applyProtection="1"/>
    <xf numFmtId="3" fontId="27" fillId="0" borderId="0" xfId="0" applyNumberFormat="1" applyFont="1" applyBorder="1" applyProtection="1"/>
    <xf numFmtId="168" fontId="12" fillId="0" borderId="0" xfId="2" applyNumberFormat="1" applyFont="1" applyFill="1" applyBorder="1" applyProtection="1"/>
    <xf numFmtId="172" fontId="24" fillId="0" borderId="24" xfId="5" applyNumberFormat="1" applyFont="1" applyFill="1" applyBorder="1" applyProtection="1"/>
    <xf numFmtId="9" fontId="27" fillId="0" borderId="0" xfId="5" applyFont="1" applyProtection="1"/>
    <xf numFmtId="167" fontId="0" fillId="0" borderId="0" xfId="0" applyNumberFormat="1"/>
    <xf numFmtId="167" fontId="21" fillId="8" borderId="21" xfId="1" applyNumberFormat="1" applyFont="1" applyFill="1" applyBorder="1"/>
    <xf numFmtId="1" fontId="24" fillId="0" borderId="0" xfId="5" applyNumberFormat="1" applyFont="1" applyAlignment="1">
      <alignment horizontal="center"/>
    </xf>
    <xf numFmtId="0" fontId="26" fillId="0" borderId="0" xfId="0" applyFont="1"/>
    <xf numFmtId="0" fontId="24" fillId="0" borderId="0" xfId="0" applyFont="1"/>
    <xf numFmtId="0" fontId="26" fillId="0" borderId="8" xfId="0" applyFont="1" applyBorder="1" applyAlignment="1">
      <alignment horizontal="left"/>
    </xf>
    <xf numFmtId="0" fontId="26" fillId="0" borderId="8" xfId="0" applyFont="1" applyBorder="1" applyAlignment="1">
      <alignment horizontal="center"/>
    </xf>
    <xf numFmtId="167" fontId="24" fillId="0" borderId="0" xfId="1" applyNumberFormat="1" applyFont="1"/>
    <xf numFmtId="0" fontId="39" fillId="0" borderId="0" xfId="0" applyFont="1"/>
    <xf numFmtId="167" fontId="39" fillId="0" borderId="0" xfId="1" applyNumberFormat="1" applyFont="1"/>
    <xf numFmtId="0" fontId="40" fillId="0" borderId="0" xfId="8" applyFont="1"/>
    <xf numFmtId="0" fontId="26" fillId="0" borderId="0" xfId="0" applyFont="1" applyBorder="1" applyAlignment="1">
      <alignment horizontal="left"/>
    </xf>
    <xf numFmtId="167" fontId="27" fillId="0" borderId="0" xfId="5" applyNumberFormat="1" applyFont="1" applyProtection="1"/>
    <xf numFmtId="169" fontId="22" fillId="14" borderId="11" xfId="7" applyNumberFormat="1" applyFont="1" applyFill="1" applyProtection="1">
      <protection locked="0"/>
    </xf>
    <xf numFmtId="167" fontId="22" fillId="14" borderId="11" xfId="1" applyNumberFormat="1" applyFont="1" applyFill="1" applyBorder="1" applyProtection="1">
      <protection locked="0"/>
    </xf>
    <xf numFmtId="167" fontId="24" fillId="0" borderId="16" xfId="10" applyNumberFormat="1" applyFont="1" applyFill="1" applyBorder="1" applyAlignment="1" applyProtection="1">
      <alignment horizontal="center"/>
      <protection locked="0"/>
    </xf>
    <xf numFmtId="9" fontId="24" fillId="0" borderId="24" xfId="5" applyNumberFormat="1" applyFont="1" applyFill="1" applyBorder="1" applyProtection="1"/>
    <xf numFmtId="164" fontId="24" fillId="0" borderId="0" xfId="0" applyNumberFormat="1" applyFont="1"/>
    <xf numFmtId="167" fontId="26" fillId="0" borderId="15" xfId="10" applyNumberFormat="1" applyFont="1" applyFill="1" applyBorder="1" applyAlignment="1" applyProtection="1">
      <alignment horizontal="left"/>
    </xf>
    <xf numFmtId="167" fontId="26" fillId="5" borderId="16" xfId="10" applyNumberFormat="1" applyFont="1" applyFill="1" applyBorder="1" applyAlignment="1" applyProtection="1"/>
    <xf numFmtId="167" fontId="24" fillId="0" borderId="47" xfId="10" applyNumberFormat="1" applyFont="1" applyFill="1" applyBorder="1" applyAlignment="1" applyProtection="1">
      <alignment horizontal="left"/>
    </xf>
    <xf numFmtId="167" fontId="24" fillId="0" borderId="16" xfId="10" applyNumberFormat="1" applyFont="1" applyFill="1" applyBorder="1" applyAlignment="1" applyProtection="1">
      <alignment horizontal="left"/>
    </xf>
    <xf numFmtId="0" fontId="43" fillId="0" borderId="0" xfId="0" applyFont="1" applyProtection="1"/>
    <xf numFmtId="3" fontId="27" fillId="14" borderId="0" xfId="0" applyNumberFormat="1" applyFont="1" applyFill="1" applyProtection="1"/>
    <xf numFmtId="0" fontId="27" fillId="0" borderId="5" xfId="0" applyFont="1" applyBorder="1" applyProtection="1"/>
    <xf numFmtId="0" fontId="27" fillId="0" borderId="6" xfId="0" applyFont="1" applyBorder="1" applyProtection="1"/>
    <xf numFmtId="3" fontId="27" fillId="0" borderId="7" xfId="0" applyNumberFormat="1" applyFont="1" applyBorder="1" applyProtection="1"/>
    <xf numFmtId="0" fontId="27" fillId="0" borderId="9" xfId="0" applyFont="1" applyBorder="1" applyProtection="1"/>
    <xf numFmtId="167" fontId="27" fillId="0" borderId="8" xfId="0" applyNumberFormat="1" applyFont="1" applyBorder="1" applyProtection="1"/>
    <xf numFmtId="3" fontId="27" fillId="0" borderId="10" xfId="0" applyNumberFormat="1" applyFont="1" applyBorder="1" applyProtection="1"/>
    <xf numFmtId="164" fontId="24" fillId="0" borderId="51" xfId="5" applyNumberFormat="1" applyFont="1" applyFill="1" applyBorder="1" applyProtection="1"/>
    <xf numFmtId="167" fontId="24" fillId="0" borderId="52" xfId="10" applyNumberFormat="1" applyFont="1" applyFill="1" applyBorder="1" applyAlignment="1" applyProtection="1">
      <protection locked="0"/>
    </xf>
    <xf numFmtId="164" fontId="27" fillId="0" borderId="0" xfId="0" applyNumberFormat="1" applyFont="1" applyBorder="1" applyProtection="1"/>
    <xf numFmtId="0" fontId="27" fillId="0" borderId="8" xfId="0" applyFont="1" applyBorder="1" applyProtection="1"/>
    <xf numFmtId="0" fontId="24" fillId="0" borderId="0" xfId="0" applyFont="1" applyProtection="1"/>
    <xf numFmtId="0" fontId="44" fillId="0" borderId="5" xfId="8" applyFont="1" applyBorder="1"/>
    <xf numFmtId="0" fontId="27" fillId="0" borderId="3" xfId="0" applyFont="1" applyBorder="1" applyProtection="1"/>
    <xf numFmtId="167" fontId="21" fillId="8" borderId="53" xfId="8" applyNumberFormat="1" applyFont="1" applyFill="1" applyBorder="1"/>
    <xf numFmtId="0" fontId="43" fillId="0" borderId="6" xfId="0" applyFont="1" applyBorder="1" applyProtection="1"/>
    <xf numFmtId="0" fontId="44" fillId="0" borderId="9" xfId="8" applyFont="1" applyBorder="1"/>
    <xf numFmtId="0" fontId="27" fillId="0" borderId="8" xfId="0" applyFont="1" applyBorder="1" applyAlignment="1" applyProtection="1">
      <alignment horizontal="right"/>
    </xf>
    <xf numFmtId="167" fontId="21" fillId="8" borderId="55" xfId="8" applyNumberFormat="1" applyFont="1" applyFill="1" applyBorder="1"/>
    <xf numFmtId="0" fontId="0" fillId="0" borderId="0" xfId="0" applyAlignment="1">
      <alignment vertical="top"/>
    </xf>
    <xf numFmtId="1" fontId="0" fillId="0" borderId="0" xfId="0" applyNumberFormat="1"/>
    <xf numFmtId="0" fontId="19" fillId="0" borderId="0" xfId="3" applyAlignment="1" applyProtection="1"/>
    <xf numFmtId="0" fontId="24" fillId="2" borderId="24" xfId="0" applyFont="1" applyFill="1" applyBorder="1" applyAlignment="1" applyProtection="1">
      <alignment horizontal="center"/>
      <protection locked="0"/>
    </xf>
    <xf numFmtId="0" fontId="47" fillId="0" borderId="0" xfId="8" applyFont="1"/>
    <xf numFmtId="167" fontId="49" fillId="0" borderId="56" xfId="0" applyNumberFormat="1" applyFont="1" applyBorder="1" applyAlignment="1">
      <alignment horizontal="right"/>
    </xf>
    <xf numFmtId="3" fontId="49" fillId="0" borderId="57" xfId="0" applyNumberFormat="1" applyFont="1" applyBorder="1" applyAlignment="1">
      <alignment horizontal="right"/>
    </xf>
    <xf numFmtId="3" fontId="49" fillId="0" borderId="72" xfId="0" applyNumberFormat="1" applyFont="1" applyBorder="1" applyAlignment="1">
      <alignment horizontal="right"/>
    </xf>
    <xf numFmtId="3" fontId="49" fillId="0" borderId="67" xfId="0" applyNumberFormat="1" applyFont="1" applyBorder="1" applyAlignment="1">
      <alignment horizontal="right"/>
    </xf>
    <xf numFmtId="3" fontId="49" fillId="0" borderId="69" xfId="0" applyNumberFormat="1" applyFont="1" applyBorder="1" applyAlignment="1">
      <alignment horizontal="right"/>
    </xf>
    <xf numFmtId="3" fontId="49" fillId="16" borderId="67" xfId="0" applyNumberFormat="1" applyFont="1" applyFill="1" applyBorder="1" applyAlignment="1">
      <alignment horizontal="right"/>
    </xf>
    <xf numFmtId="3" fontId="49" fillId="16" borderId="69" xfId="0" applyNumberFormat="1" applyFont="1" applyFill="1" applyBorder="1" applyAlignment="1">
      <alignment horizontal="right"/>
    </xf>
    <xf numFmtId="3" fontId="49" fillId="16" borderId="70" xfId="0" applyNumberFormat="1" applyFont="1" applyFill="1" applyBorder="1" applyAlignment="1">
      <alignment horizontal="right"/>
    </xf>
    <xf numFmtId="3" fontId="49" fillId="16" borderId="73" xfId="0" applyNumberFormat="1" applyFont="1" applyFill="1" applyBorder="1" applyAlignment="1">
      <alignment horizontal="right"/>
    </xf>
    <xf numFmtId="0" fontId="48" fillId="0" borderId="74" xfId="0" applyFont="1" applyBorder="1" applyAlignment="1">
      <alignment horizontal="center"/>
    </xf>
    <xf numFmtId="167" fontId="49" fillId="0" borderId="83" xfId="0" applyNumberFormat="1" applyFont="1" applyBorder="1"/>
    <xf numFmtId="167" fontId="49" fillId="0" borderId="83" xfId="0" applyNumberFormat="1" applyFont="1" applyBorder="1" applyAlignment="1">
      <alignment horizontal="right"/>
    </xf>
    <xf numFmtId="3" fontId="49" fillId="0" borderId="83" xfId="0" applyNumberFormat="1" applyFont="1" applyBorder="1" applyAlignment="1">
      <alignment horizontal="right"/>
    </xf>
    <xf numFmtId="3" fontId="27" fillId="0" borderId="1" xfId="4" applyNumberFormat="1" applyFont="1" applyFill="1" applyBorder="1" applyProtection="1">
      <protection locked="0"/>
    </xf>
    <xf numFmtId="167" fontId="24" fillId="0" borderId="0" xfId="0" applyNumberFormat="1" applyFont="1"/>
    <xf numFmtId="3" fontId="24" fillId="10" borderId="13" xfId="9" applyNumberFormat="1" applyFont="1" applyFill="1" applyBorder="1" applyAlignment="1" applyProtection="1">
      <alignment horizontal="right"/>
    </xf>
    <xf numFmtId="173" fontId="26" fillId="0" borderId="8" xfId="5" applyNumberFormat="1" applyFont="1" applyBorder="1" applyAlignment="1">
      <alignment horizontal="center"/>
    </xf>
    <xf numFmtId="1" fontId="24" fillId="0" borderId="0" xfId="0" applyNumberFormat="1" applyFont="1"/>
    <xf numFmtId="173" fontId="24" fillId="0" borderId="0" xfId="0" applyNumberFormat="1" applyFont="1"/>
    <xf numFmtId="3" fontId="27" fillId="17" borderId="0" xfId="0" applyNumberFormat="1" applyFont="1" applyFill="1" applyBorder="1" applyProtection="1"/>
    <xf numFmtId="167" fontId="24" fillId="0" borderId="0" xfId="5" applyNumberFormat="1" applyFont="1" applyFill="1" applyBorder="1" applyProtection="1"/>
    <xf numFmtId="167" fontId="27" fillId="14" borderId="0" xfId="0" applyNumberFormat="1" applyFont="1" applyFill="1" applyProtection="1"/>
    <xf numFmtId="9" fontId="24" fillId="0" borderId="31" xfId="5" applyFont="1" applyFill="1" applyBorder="1" applyAlignment="1" applyProtection="1">
      <alignment horizontal="center"/>
    </xf>
    <xf numFmtId="3" fontId="24" fillId="17" borderId="13" xfId="9" applyNumberFormat="1" applyFont="1" applyFill="1" applyBorder="1" applyAlignment="1" applyProtection="1">
      <alignment horizontal="right"/>
    </xf>
    <xf numFmtId="167" fontId="26" fillId="14" borderId="0" xfId="10" applyNumberFormat="1" applyFont="1" applyFill="1" applyBorder="1" applyAlignment="1" applyProtection="1">
      <alignment horizontal="center"/>
    </xf>
    <xf numFmtId="0" fontId="56" fillId="0" borderId="0" xfId="0" applyFont="1"/>
    <xf numFmtId="3" fontId="49" fillId="14" borderId="67" xfId="0" applyNumberFormat="1" applyFont="1" applyFill="1" applyBorder="1" applyAlignment="1">
      <alignment horizontal="right"/>
    </xf>
    <xf numFmtId="167" fontId="49" fillId="14" borderId="56" xfId="0" applyNumberFormat="1" applyFont="1" applyFill="1" applyBorder="1" applyAlignment="1">
      <alignment horizontal="right"/>
    </xf>
    <xf numFmtId="9" fontId="22" fillId="0" borderId="0" xfId="5" applyFont="1"/>
    <xf numFmtId="0" fontId="36" fillId="0" borderId="0" xfId="11"/>
    <xf numFmtId="3" fontId="49" fillId="14" borderId="56" xfId="0" applyNumberFormat="1" applyFont="1" applyFill="1" applyBorder="1"/>
    <xf numFmtId="3" fontId="49" fillId="14" borderId="87" xfId="0" applyNumberFormat="1" applyFont="1" applyFill="1" applyBorder="1" applyAlignment="1">
      <alignment horizontal="right"/>
    </xf>
    <xf numFmtId="3" fontId="49" fillId="14" borderId="69" xfId="0" applyNumberFormat="1" applyFont="1" applyFill="1" applyBorder="1" applyAlignment="1">
      <alignment horizontal="right"/>
    </xf>
    <xf numFmtId="3" fontId="49" fillId="0" borderId="56" xfId="0" applyNumberFormat="1" applyFont="1" applyBorder="1" applyAlignment="1">
      <alignment horizontal="right"/>
    </xf>
    <xf numFmtId="0" fontId="14" fillId="0" borderId="0" xfId="0" applyFont="1" applyFill="1"/>
    <xf numFmtId="0" fontId="0" fillId="0" borderId="0" xfId="0" applyFill="1"/>
    <xf numFmtId="167" fontId="49" fillId="0" borderId="83" xfId="0" applyNumberFormat="1" applyFont="1" applyFill="1" applyBorder="1" applyAlignment="1">
      <alignment horizontal="right"/>
    </xf>
    <xf numFmtId="167" fontId="49" fillId="0" borderId="68" xfId="0" applyNumberFormat="1" applyFont="1" applyFill="1" applyBorder="1" applyAlignment="1">
      <alignment horizontal="right"/>
    </xf>
    <xf numFmtId="167" fontId="26" fillId="9" borderId="0" xfId="9" applyNumberFormat="1" applyFont="1" applyFill="1" applyBorder="1"/>
    <xf numFmtId="0" fontId="58" fillId="14" borderId="0" xfId="8" applyFont="1" applyFill="1"/>
    <xf numFmtId="167" fontId="24" fillId="14" borderId="16" xfId="10" applyNumberFormat="1" applyFont="1" applyFill="1" applyBorder="1" applyAlignment="1" applyProtection="1">
      <protection locked="0"/>
    </xf>
    <xf numFmtId="0" fontId="14" fillId="0" borderId="0" xfId="0" applyFont="1" applyProtection="1"/>
    <xf numFmtId="0" fontId="24" fillId="0" borderId="0" xfId="0" applyFont="1" applyFill="1"/>
    <xf numFmtId="3" fontId="49" fillId="0" borderId="83" xfId="0" applyNumberFormat="1" applyFont="1" applyFill="1" applyBorder="1" applyAlignment="1">
      <alignment horizontal="right"/>
    </xf>
    <xf numFmtId="0" fontId="0" fillId="0" borderId="88" xfId="0" applyBorder="1"/>
    <xf numFmtId="0" fontId="48" fillId="0" borderId="0" xfId="0" applyFont="1" applyBorder="1" applyAlignment="1">
      <alignment horizontal="center"/>
    </xf>
    <xf numFmtId="3" fontId="49" fillId="0" borderId="0" xfId="0" applyNumberFormat="1" applyFont="1" applyBorder="1"/>
    <xf numFmtId="3" fontId="49" fillId="0" borderId="0" xfId="0" applyNumberFormat="1" applyFont="1" applyFill="1" applyBorder="1" applyAlignment="1">
      <alignment horizontal="right"/>
    </xf>
    <xf numFmtId="3" fontId="49" fillId="0" borderId="0" xfId="0" applyNumberFormat="1" applyFont="1" applyFill="1" applyBorder="1"/>
    <xf numFmtId="0" fontId="26" fillId="0" borderId="57" xfId="0" applyFont="1" applyBorder="1"/>
    <xf numFmtId="0" fontId="0" fillId="0" borderId="66" xfId="0" applyBorder="1"/>
    <xf numFmtId="0" fontId="0" fillId="0" borderId="0" xfId="0" applyFill="1" applyBorder="1"/>
    <xf numFmtId="0" fontId="14" fillId="0" borderId="0" xfId="0" applyFont="1" applyFill="1" applyBorder="1"/>
    <xf numFmtId="0" fontId="57" fillId="0" borderId="0" xfId="0" applyFont="1" applyFill="1" applyBorder="1"/>
    <xf numFmtId="0" fontId="36" fillId="0" borderId="59" xfId="11" applyBorder="1"/>
    <xf numFmtId="0" fontId="0" fillId="0" borderId="64" xfId="0" applyBorder="1"/>
    <xf numFmtId="0" fontId="36" fillId="0" borderId="61" xfId="11" applyBorder="1"/>
    <xf numFmtId="0" fontId="36" fillId="0" borderId="63" xfId="11" applyBorder="1"/>
    <xf numFmtId="0" fontId="0" fillId="0" borderId="65" xfId="0" applyBorder="1"/>
    <xf numFmtId="0" fontId="36" fillId="0" borderId="89" xfId="11" applyBorder="1"/>
    <xf numFmtId="0" fontId="59" fillId="0" borderId="63" xfId="11" applyFont="1" applyBorder="1"/>
    <xf numFmtId="0" fontId="36" fillId="0" borderId="65" xfId="11" applyBorder="1"/>
    <xf numFmtId="0" fontId="36" fillId="0" borderId="90" xfId="11" applyBorder="1"/>
    <xf numFmtId="0" fontId="36" fillId="0" borderId="91" xfId="11" applyBorder="1"/>
    <xf numFmtId="0" fontId="0" fillId="0" borderId="91" xfId="0" applyBorder="1"/>
    <xf numFmtId="167" fontId="24" fillId="0" borderId="0" xfId="1" applyNumberFormat="1" applyFont="1" applyFill="1"/>
    <xf numFmtId="167" fontId="39" fillId="0" borderId="0" xfId="1" applyNumberFormat="1" applyFont="1" applyFill="1"/>
    <xf numFmtId="0" fontId="26" fillId="0" borderId="8" xfId="0" applyFont="1" applyFill="1" applyBorder="1" applyAlignment="1">
      <alignment horizontal="center"/>
    </xf>
    <xf numFmtId="0" fontId="0" fillId="0" borderId="0" xfId="0" applyAlignment="1">
      <alignment wrapText="1"/>
    </xf>
    <xf numFmtId="0" fontId="24" fillId="14" borderId="0" xfId="0" applyFont="1" applyFill="1"/>
    <xf numFmtId="3" fontId="27" fillId="14" borderId="1" xfId="4" applyNumberFormat="1" applyFont="1" applyFill="1" applyBorder="1" applyProtection="1"/>
    <xf numFmtId="0" fontId="0" fillId="14" borderId="0" xfId="0" applyFill="1"/>
    <xf numFmtId="0" fontId="0" fillId="14" borderId="1" xfId="0" applyFill="1" applyBorder="1" applyAlignment="1">
      <alignment vertical="top" wrapText="1"/>
    </xf>
    <xf numFmtId="0" fontId="14" fillId="14" borderId="1" xfId="0" applyFont="1" applyFill="1" applyBorder="1" applyAlignment="1">
      <alignment vertical="top" wrapText="1"/>
    </xf>
    <xf numFmtId="3" fontId="24" fillId="14" borderId="13" xfId="9" applyNumberFormat="1" applyFont="1" applyFill="1" applyBorder="1" applyAlignment="1" applyProtection="1">
      <alignment horizontal="right"/>
    </xf>
    <xf numFmtId="0" fontId="27" fillId="14" borderId="24" xfId="0" applyFont="1" applyFill="1" applyBorder="1" applyAlignment="1" applyProtection="1">
      <alignment horizontal="center"/>
    </xf>
    <xf numFmtId="2" fontId="31" fillId="0" borderId="0" xfId="0" applyNumberFormat="1" applyFont="1" applyAlignment="1" applyProtection="1">
      <alignment horizontal="center"/>
    </xf>
    <xf numFmtId="0" fontId="24" fillId="14" borderId="24" xfId="0" applyFont="1" applyFill="1" applyBorder="1" applyAlignment="1" applyProtection="1">
      <alignment horizontal="center"/>
    </xf>
    <xf numFmtId="0" fontId="62" fillId="0" borderId="0" xfId="4" applyFont="1"/>
    <xf numFmtId="0" fontId="14" fillId="0" borderId="0" xfId="4"/>
    <xf numFmtId="0" fontId="13" fillId="12" borderId="1" xfId="4" applyFont="1" applyFill="1" applyBorder="1"/>
    <xf numFmtId="0" fontId="13" fillId="12" borderId="1" xfId="4" applyFont="1" applyFill="1" applyBorder="1" applyAlignment="1">
      <alignment horizontal="center"/>
    </xf>
    <xf numFmtId="0" fontId="14" fillId="0" borderId="1" xfId="4" applyFont="1" applyBorder="1" applyAlignment="1">
      <alignment wrapText="1"/>
    </xf>
    <xf numFmtId="0" fontId="14" fillId="0" borderId="1" xfId="4" applyBorder="1"/>
    <xf numFmtId="0" fontId="0" fillId="0" borderId="1" xfId="0" applyBorder="1" applyAlignment="1">
      <alignment horizontal="left" wrapText="1"/>
    </xf>
    <xf numFmtId="0" fontId="23" fillId="14" borderId="0" xfId="8" applyFont="1" applyFill="1"/>
    <xf numFmtId="0" fontId="59" fillId="0" borderId="0" xfId="0" applyFont="1"/>
    <xf numFmtId="0" fontId="27" fillId="0" borderId="0" xfId="39" applyFont="1" applyBorder="1" applyProtection="1"/>
    <xf numFmtId="3" fontId="27" fillId="0" borderId="0" xfId="39" applyNumberFormat="1" applyFont="1" applyBorder="1" applyProtection="1"/>
    <xf numFmtId="3" fontId="27" fillId="0" borderId="48" xfId="39" applyNumberFormat="1" applyFont="1" applyBorder="1" applyProtection="1"/>
    <xf numFmtId="171" fontId="27" fillId="0" borderId="0" xfId="18" applyNumberFormat="1" applyFont="1" applyBorder="1" applyProtection="1"/>
    <xf numFmtId="10" fontId="27" fillId="0" borderId="48" xfId="39" applyNumberFormat="1" applyFont="1" applyBorder="1" applyProtection="1"/>
    <xf numFmtId="10" fontId="27" fillId="0" borderId="0" xfId="39" applyNumberFormat="1" applyFont="1" applyBorder="1" applyProtection="1"/>
    <xf numFmtId="10" fontId="27" fillId="0" borderId="0" xfId="18" applyNumberFormat="1" applyFont="1" applyBorder="1" applyProtection="1"/>
    <xf numFmtId="3" fontId="27" fillId="0" borderId="49" xfId="39" applyNumberFormat="1" applyFont="1" applyBorder="1" applyProtection="1"/>
    <xf numFmtId="10" fontId="27" fillId="0" borderId="49" xfId="39" applyNumberFormat="1" applyFont="1" applyBorder="1" applyProtection="1"/>
    <xf numFmtId="10" fontId="27" fillId="0" borderId="50" xfId="39" applyNumberFormat="1" applyFont="1" applyBorder="1" applyProtection="1"/>
    <xf numFmtId="3" fontId="27" fillId="0" borderId="1" xfId="39" applyNumberFormat="1" applyFont="1" applyBorder="1" applyProtection="1"/>
    <xf numFmtId="0" fontId="14" fillId="0" borderId="1" xfId="4" applyBorder="1" applyAlignment="1">
      <alignment wrapText="1"/>
    </xf>
    <xf numFmtId="14" fontId="14" fillId="0" borderId="48" xfId="4" applyNumberFormat="1" applyBorder="1" applyAlignment="1">
      <alignment vertical="center"/>
    </xf>
    <xf numFmtId="0" fontId="14" fillId="0" borderId="1" xfId="4" applyFont="1" applyBorder="1" applyAlignment="1">
      <alignment vertical="center"/>
    </xf>
    <xf numFmtId="0" fontId="44" fillId="0" borderId="3" xfId="8" applyFont="1" applyBorder="1"/>
    <xf numFmtId="0" fontId="43" fillId="0" borderId="0" xfId="0" applyFont="1" applyBorder="1" applyProtection="1"/>
    <xf numFmtId="0" fontId="44" fillId="0" borderId="8" xfId="8" applyFont="1" applyBorder="1"/>
    <xf numFmtId="167" fontId="31" fillId="0" borderId="15" xfId="10" applyNumberFormat="1" applyFont="1" applyFill="1" applyBorder="1" applyAlignment="1" applyProtection="1">
      <alignment horizontal="center"/>
    </xf>
    <xf numFmtId="3" fontId="49" fillId="0" borderId="60" xfId="0" applyNumberFormat="1" applyFont="1" applyBorder="1"/>
    <xf numFmtId="3" fontId="49" fillId="0" borderId="62" xfId="0" applyNumberFormat="1" applyFont="1" applyBorder="1"/>
    <xf numFmtId="0" fontId="49" fillId="0" borderId="56" xfId="0" applyFont="1" applyBorder="1" applyAlignment="1">
      <alignment horizontal="center"/>
    </xf>
    <xf numFmtId="167" fontId="24" fillId="14" borderId="16" xfId="10" applyNumberFormat="1" applyFont="1" applyFill="1" applyBorder="1" applyAlignment="1" applyProtection="1"/>
    <xf numFmtId="167" fontId="49" fillId="0" borderId="56" xfId="0" applyNumberFormat="1" applyFont="1" applyBorder="1"/>
    <xf numFmtId="0" fontId="0" fillId="0" borderId="1" xfId="0" applyBorder="1" applyAlignment="1">
      <alignment wrapText="1"/>
    </xf>
    <xf numFmtId="14" fontId="0" fillId="0" borderId="48" xfId="0" applyNumberFormat="1" applyBorder="1" applyAlignment="1">
      <alignment vertical="center"/>
    </xf>
    <xf numFmtId="0" fontId="14" fillId="0" borderId="1" xfId="0" applyFont="1" applyBorder="1" applyAlignment="1">
      <alignment vertical="center"/>
    </xf>
    <xf numFmtId="174" fontId="27" fillId="0" borderId="0" xfId="0" applyNumberFormat="1" applyFont="1" applyProtection="1"/>
    <xf numFmtId="2" fontId="23" fillId="0" borderId="0" xfId="8" applyNumberFormat="1" applyFont="1" applyProtection="1"/>
    <xf numFmtId="0" fontId="0" fillId="0" borderId="1" xfId="0" applyBorder="1"/>
    <xf numFmtId="167" fontId="0" fillId="0" borderId="1" xfId="0" applyNumberFormat="1" applyBorder="1"/>
    <xf numFmtId="167" fontId="0" fillId="10" borderId="1" xfId="0" applyNumberFormat="1" applyFill="1" applyBorder="1"/>
    <xf numFmtId="3" fontId="0" fillId="0" borderId="1" xfId="0" applyNumberFormat="1" applyBorder="1"/>
    <xf numFmtId="167" fontId="66" fillId="8" borderId="21" xfId="1" applyNumberFormat="1" applyFont="1" applyFill="1" applyBorder="1"/>
    <xf numFmtId="0" fontId="2" fillId="0" borderId="0" xfId="184"/>
    <xf numFmtId="167" fontId="2" fillId="0" borderId="1" xfId="184" applyNumberFormat="1" applyBorder="1"/>
    <xf numFmtId="167" fontId="2" fillId="10" borderId="1" xfId="184" applyNumberFormat="1" applyFill="1" applyBorder="1"/>
    <xf numFmtId="167" fontId="2" fillId="14" borderId="1" xfId="184" applyNumberFormat="1" applyFill="1" applyBorder="1"/>
    <xf numFmtId="167" fontId="2" fillId="16" borderId="1" xfId="184" applyNumberFormat="1" applyFill="1" applyBorder="1"/>
    <xf numFmtId="3" fontId="2" fillId="0" borderId="1" xfId="184" applyNumberFormat="1" applyBorder="1"/>
    <xf numFmtId="0" fontId="2" fillId="9" borderId="94" xfId="184" applyFill="1" applyBorder="1" applyAlignment="1">
      <alignment horizontal="center" wrapText="1"/>
    </xf>
    <xf numFmtId="0" fontId="2" fillId="0" borderId="0" xfId="184" applyAlignment="1">
      <alignment wrapText="1"/>
    </xf>
    <xf numFmtId="0" fontId="2" fillId="11" borderId="1" xfId="184" applyFill="1" applyBorder="1" applyAlignment="1">
      <alignment vertical="top"/>
    </xf>
    <xf numFmtId="3" fontId="2" fillId="14" borderId="1" xfId="184" applyNumberFormat="1" applyFill="1" applyBorder="1" applyAlignment="1">
      <alignment vertical="center"/>
    </xf>
    <xf numFmtId="3" fontId="2" fillId="0" borderId="1" xfId="184" applyNumberFormat="1" applyBorder="1" applyAlignment="1">
      <alignment vertical="center"/>
    </xf>
    <xf numFmtId="3" fontId="14" fillId="0" borderId="1" xfId="184" applyNumberFormat="1" applyFont="1" applyBorder="1" applyAlignment="1">
      <alignment vertical="center"/>
    </xf>
    <xf numFmtId="9" fontId="0" fillId="14" borderId="1" xfId="185" applyFont="1" applyFill="1" applyBorder="1" applyAlignment="1">
      <alignment vertical="center"/>
    </xf>
    <xf numFmtId="0" fontId="2" fillId="14" borderId="1" xfId="184" applyFill="1" applyBorder="1"/>
    <xf numFmtId="0" fontId="2" fillId="11" borderId="50" xfId="184" applyFill="1" applyBorder="1" applyAlignment="1">
      <alignment vertical="top"/>
    </xf>
    <xf numFmtId="3" fontId="2" fillId="14" borderId="50" xfId="184" applyNumberFormat="1" applyFill="1" applyBorder="1" applyAlignment="1">
      <alignment vertical="center"/>
    </xf>
    <xf numFmtId="3" fontId="2" fillId="0" borderId="50" xfId="184" applyNumberFormat="1" applyBorder="1" applyAlignment="1">
      <alignment vertical="center"/>
    </xf>
    <xf numFmtId="0" fontId="2" fillId="0" borderId="50" xfId="184" applyBorder="1"/>
    <xf numFmtId="3" fontId="14" fillId="0" borderId="50" xfId="184" applyNumberFormat="1" applyFont="1" applyBorder="1" applyAlignment="1">
      <alignment vertical="center"/>
    </xf>
    <xf numFmtId="167" fontId="49" fillId="0" borderId="83" xfId="0" quotePrefix="1" applyNumberFormat="1" applyFont="1" applyBorder="1"/>
    <xf numFmtId="0" fontId="2" fillId="18" borderId="49" xfId="184" applyFill="1" applyBorder="1" applyAlignment="1">
      <alignment vertical="top"/>
    </xf>
    <xf numFmtId="0" fontId="2" fillId="18" borderId="50" xfId="184" applyFill="1" applyBorder="1" applyAlignment="1">
      <alignment vertical="top"/>
    </xf>
    <xf numFmtId="3" fontId="14" fillId="20" borderId="1" xfId="184" applyNumberFormat="1" applyFont="1" applyFill="1" applyBorder="1" applyAlignment="1" applyProtection="1">
      <alignment vertical="center"/>
      <protection locked="0"/>
    </xf>
    <xf numFmtId="169" fontId="0" fillId="0" borderId="0" xfId="0" applyNumberFormat="1"/>
    <xf numFmtId="168" fontId="12" fillId="0" borderId="2" xfId="2" applyNumberFormat="1" applyFont="1" applyFill="1" applyBorder="1" applyProtection="1">
      <protection locked="0"/>
    </xf>
    <xf numFmtId="0" fontId="14" fillId="0" borderId="1" xfId="4" applyBorder="1" applyAlignment="1">
      <alignment vertical="center" wrapText="1"/>
    </xf>
    <xf numFmtId="3" fontId="12" fillId="0" borderId="1" xfId="0" applyNumberFormat="1" applyFont="1" applyBorder="1"/>
    <xf numFmtId="0" fontId="27" fillId="0" borderId="5" xfId="39" applyFont="1" applyBorder="1" applyProtection="1"/>
    <xf numFmtId="0" fontId="27" fillId="0" borderId="4" xfId="39" applyFont="1" applyBorder="1" applyProtection="1"/>
    <xf numFmtId="0" fontId="27" fillId="0" borderId="6" xfId="39" applyFont="1" applyBorder="1" applyProtection="1"/>
    <xf numFmtId="0" fontId="60" fillId="0" borderId="0" xfId="39" applyBorder="1" applyProtection="1"/>
    <xf numFmtId="0" fontId="27" fillId="0" borderId="7" xfId="39" applyFont="1" applyBorder="1" applyProtection="1"/>
    <xf numFmtId="0" fontId="12" fillId="0" borderId="0" xfId="4" applyFont="1" applyBorder="1" applyProtection="1"/>
    <xf numFmtId="0" fontId="33" fillId="0" borderId="0" xfId="4" applyFont="1" applyFill="1" applyBorder="1" applyProtection="1"/>
    <xf numFmtId="0" fontId="13" fillId="0" borderId="0" xfId="39" applyFont="1" applyBorder="1" applyProtection="1"/>
    <xf numFmtId="0" fontId="24" fillId="12" borderId="0" xfId="39" applyFont="1" applyFill="1" applyBorder="1" applyProtection="1"/>
    <xf numFmtId="0" fontId="24" fillId="13" borderId="0" xfId="39" applyFont="1" applyFill="1" applyBorder="1" applyAlignment="1" applyProtection="1">
      <alignment horizontal="right"/>
    </xf>
    <xf numFmtId="0" fontId="24" fillId="13" borderId="0" xfId="39" applyFont="1" applyFill="1" applyBorder="1" applyProtection="1"/>
    <xf numFmtId="0" fontId="24" fillId="13" borderId="0" xfId="39" applyFont="1" applyFill="1" applyBorder="1" applyAlignment="1" applyProtection="1">
      <alignment horizontal="center"/>
    </xf>
    <xf numFmtId="0" fontId="31" fillId="0" borderId="0" xfId="39" applyFont="1" applyBorder="1" applyProtection="1"/>
    <xf numFmtId="0" fontId="27" fillId="0" borderId="9" xfId="39" applyFont="1" applyBorder="1" applyProtection="1"/>
    <xf numFmtId="0" fontId="27" fillId="0" borderId="8" xfId="39" applyFont="1" applyBorder="1" applyProtection="1"/>
    <xf numFmtId="0" fontId="27" fillId="0" borderId="10" xfId="39" applyFont="1" applyBorder="1" applyProtection="1"/>
    <xf numFmtId="0" fontId="2" fillId="21" borderId="1" xfId="184" applyFill="1" applyBorder="1" applyProtection="1">
      <protection locked="0"/>
    </xf>
    <xf numFmtId="167" fontId="26" fillId="0" borderId="16" xfId="10" applyNumberFormat="1" applyFont="1" applyFill="1" applyBorder="1" applyAlignment="1" applyProtection="1"/>
    <xf numFmtId="0" fontId="2" fillId="18" borderId="48" xfId="184" applyFill="1" applyBorder="1" applyAlignment="1">
      <alignment horizontal="center" vertical="top" wrapText="1"/>
    </xf>
    <xf numFmtId="0" fontId="2" fillId="18" borderId="49" xfId="184" applyFill="1" applyBorder="1" applyAlignment="1">
      <alignment horizontal="center" vertical="top" wrapText="1"/>
    </xf>
    <xf numFmtId="0" fontId="53" fillId="0" borderId="0" xfId="0" applyFont="1" applyAlignment="1">
      <alignment horizontal="left" vertical="center" wrapText="1"/>
    </xf>
    <xf numFmtId="0" fontId="53" fillId="0" borderId="0" xfId="0" applyFont="1" applyFill="1" applyAlignment="1">
      <alignment horizontal="left" vertical="center" wrapText="1"/>
    </xf>
    <xf numFmtId="167" fontId="1" fillId="3" borderId="11" xfId="32" applyNumberFormat="1" applyFont="1" applyFill="1" applyBorder="1" applyProtection="1">
      <protection locked="0"/>
    </xf>
    <xf numFmtId="0" fontId="65" fillId="0" borderId="0" xfId="8" applyFont="1" applyProtection="1">
      <protection locked="0"/>
    </xf>
    <xf numFmtId="0" fontId="19" fillId="0" borderId="0" xfId="3" applyAlignment="1" applyProtection="1">
      <protection locked="0"/>
    </xf>
    <xf numFmtId="0" fontId="23" fillId="0" borderId="0" xfId="8" applyFont="1" applyProtection="1">
      <protection locked="0"/>
    </xf>
    <xf numFmtId="0" fontId="1" fillId="0" borderId="0" xfId="8" applyFont="1" applyAlignment="1">
      <alignment horizontal="right"/>
    </xf>
    <xf numFmtId="0" fontId="1" fillId="0" borderId="0" xfId="8" applyFont="1"/>
    <xf numFmtId="0" fontId="1" fillId="0" borderId="43" xfId="8" applyFont="1" applyBorder="1"/>
    <xf numFmtId="169" fontId="1" fillId="3" borderId="24" xfId="7" applyNumberFormat="1" applyFont="1" applyBorder="1" applyAlignment="1" applyProtection="1">
      <alignment horizontal="left" wrapText="1"/>
      <protection locked="0"/>
    </xf>
    <xf numFmtId="169" fontId="1" fillId="3" borderId="24" xfId="7" applyNumberFormat="1" applyFont="1" applyBorder="1" applyAlignment="1" applyProtection="1">
      <alignment horizontal="left"/>
      <protection locked="0"/>
    </xf>
    <xf numFmtId="1" fontId="1" fillId="3" borderId="24" xfId="7" applyNumberFormat="1" applyFont="1" applyBorder="1" applyAlignment="1" applyProtection="1">
      <alignment horizontal="left"/>
      <protection locked="0"/>
    </xf>
    <xf numFmtId="0" fontId="1" fillId="3" borderId="24" xfId="7" applyNumberFormat="1" applyFont="1" applyBorder="1" applyAlignment="1" applyProtection="1">
      <alignment horizontal="left"/>
      <protection locked="0"/>
    </xf>
    <xf numFmtId="49" fontId="1" fillId="3" borderId="24" xfId="7" applyNumberFormat="1" applyFont="1" applyBorder="1" applyAlignment="1" applyProtection="1">
      <alignment horizontal="left"/>
      <protection locked="0"/>
    </xf>
    <xf numFmtId="14" fontId="1" fillId="3" borderId="11" xfId="7" applyNumberFormat="1" applyFont="1" applyAlignment="1" applyProtection="1">
      <alignment horizontal="center"/>
      <protection locked="0"/>
    </xf>
    <xf numFmtId="0" fontId="1" fillId="3" borderId="11" xfId="7" applyNumberFormat="1" applyFont="1" applyAlignment="1" applyProtection="1">
      <alignment horizontal="left"/>
      <protection locked="0"/>
    </xf>
    <xf numFmtId="14" fontId="1" fillId="3" borderId="24" xfId="7" applyNumberFormat="1" applyFont="1" applyBorder="1" applyAlignment="1" applyProtection="1">
      <alignment horizontal="left"/>
      <protection locked="0"/>
    </xf>
    <xf numFmtId="0" fontId="1" fillId="0" borderId="0" xfId="8" applyFont="1" applyProtection="1">
      <protection locked="0"/>
    </xf>
    <xf numFmtId="2" fontId="1" fillId="0" borderId="0" xfId="8" applyNumberFormat="1" applyFont="1" applyProtection="1"/>
    <xf numFmtId="169" fontId="1" fillId="14" borderId="24" xfId="7" applyNumberFormat="1" applyFont="1" applyFill="1" applyBorder="1" applyAlignment="1" applyProtection="1">
      <alignment horizontal="center"/>
    </xf>
    <xf numFmtId="0" fontId="1" fillId="0" borderId="0" xfId="8" applyFont="1" applyProtection="1"/>
    <xf numFmtId="0" fontId="1" fillId="0" borderId="43" xfId="8" applyFont="1" applyBorder="1" applyAlignment="1">
      <alignment wrapText="1"/>
    </xf>
    <xf numFmtId="2" fontId="1" fillId="14" borderId="24" xfId="7" applyNumberFormat="1" applyFont="1" applyFill="1" applyBorder="1" applyAlignment="1" applyProtection="1">
      <alignment horizontal="center"/>
    </xf>
    <xf numFmtId="14" fontId="1" fillId="14" borderId="0" xfId="7" applyNumberFormat="1" applyFont="1" applyFill="1" applyBorder="1" applyAlignment="1" applyProtection="1">
      <alignment horizontal="left"/>
      <protection locked="0"/>
    </xf>
    <xf numFmtId="14" fontId="1" fillId="14" borderId="0" xfId="7" applyNumberFormat="1" applyFont="1" applyFill="1" applyBorder="1" applyAlignment="1" applyProtection="1">
      <alignment horizontal="left"/>
    </xf>
    <xf numFmtId="2" fontId="1" fillId="3" borderId="0" xfId="7" applyNumberFormat="1" applyFont="1" applyBorder="1" applyAlignment="1" applyProtection="1">
      <alignment horizontal="right"/>
      <protection locked="0"/>
    </xf>
    <xf numFmtId="3" fontId="1" fillId="0" borderId="0" xfId="8" applyNumberFormat="1" applyFont="1"/>
    <xf numFmtId="0" fontId="1" fillId="0" borderId="46" xfId="8" applyFont="1" applyBorder="1"/>
    <xf numFmtId="9" fontId="1" fillId="0" borderId="0" xfId="8" applyNumberFormat="1" applyFont="1"/>
    <xf numFmtId="0" fontId="1" fillId="0" borderId="0" xfId="8" applyFont="1" applyFill="1"/>
    <xf numFmtId="0" fontId="1" fillId="14" borderId="0" xfId="8" applyFont="1" applyFill="1"/>
    <xf numFmtId="14" fontId="1" fillId="3" borderId="2" xfId="7" applyNumberFormat="1" applyFont="1" applyBorder="1" applyAlignment="1" applyProtection="1">
      <protection locked="0"/>
    </xf>
    <xf numFmtId="169" fontId="1" fillId="14" borderId="11" xfId="7" applyNumberFormat="1" applyFont="1" applyFill="1" applyProtection="1"/>
    <xf numFmtId="1" fontId="1" fillId="3" borderId="11" xfId="7" applyNumberFormat="1" applyFont="1" applyAlignment="1" applyProtection="1">
      <alignment horizontal="center"/>
      <protection locked="0"/>
    </xf>
    <xf numFmtId="169" fontId="1" fillId="3" borderId="11" xfId="7" applyNumberFormat="1" applyFont="1" applyProtection="1">
      <protection locked="0"/>
    </xf>
    <xf numFmtId="2" fontId="1" fillId="3" borderId="11" xfId="33" applyNumberFormat="1" applyFont="1" applyProtection="1">
      <protection locked="0"/>
    </xf>
    <xf numFmtId="3" fontId="27" fillId="17" borderId="112" xfId="0" applyNumberFormat="1" applyFont="1" applyFill="1" applyBorder="1" applyProtection="1"/>
    <xf numFmtId="3" fontId="27" fillId="0" borderId="112" xfId="0" applyNumberFormat="1" applyFont="1" applyBorder="1" applyProtection="1"/>
    <xf numFmtId="2" fontId="1" fillId="3" borderId="11" xfId="7" applyNumberFormat="1" applyFont="1" applyProtection="1">
      <protection locked="0"/>
    </xf>
    <xf numFmtId="164" fontId="1" fillId="3" borderId="11" xfId="32" applyFont="1" applyFill="1" applyBorder="1" applyProtection="1">
      <protection locked="0"/>
    </xf>
    <xf numFmtId="169" fontId="1" fillId="3" borderId="11" xfId="7" applyNumberFormat="1" applyFont="1" applyAlignment="1" applyProtection="1">
      <alignment wrapText="1"/>
      <protection locked="0"/>
    </xf>
    <xf numFmtId="1" fontId="1" fillId="14" borderId="11" xfId="7" applyNumberFormat="1" applyFont="1" applyFill="1" applyProtection="1"/>
    <xf numFmtId="0" fontId="1" fillId="0" borderId="0" xfId="8" applyFont="1" applyBorder="1"/>
    <xf numFmtId="0" fontId="1" fillId="0" borderId="3" xfId="8" applyFont="1" applyBorder="1" applyAlignment="1">
      <alignment horizontal="right"/>
    </xf>
    <xf numFmtId="167" fontId="1" fillId="3" borderId="54" xfId="1" applyNumberFormat="1" applyFont="1" applyFill="1" applyBorder="1" applyProtection="1">
      <protection locked="0"/>
    </xf>
    <xf numFmtId="167" fontId="1" fillId="14" borderId="0" xfId="1" applyNumberFormat="1" applyFont="1" applyFill="1" applyBorder="1" applyProtection="1">
      <protection locked="0"/>
    </xf>
    <xf numFmtId="167" fontId="1" fillId="3" borderId="11" xfId="1" applyNumberFormat="1" applyFont="1" applyFill="1" applyBorder="1" applyProtection="1">
      <protection locked="0"/>
    </xf>
    <xf numFmtId="167" fontId="1" fillId="14" borderId="11" xfId="1" applyNumberFormat="1" applyFont="1" applyFill="1" applyBorder="1" applyProtection="1">
      <protection locked="0"/>
    </xf>
    <xf numFmtId="14" fontId="1" fillId="14" borderId="24" xfId="7" applyNumberFormat="1" applyFont="1" applyFill="1" applyBorder="1" applyAlignment="1" applyProtection="1">
      <alignment horizontal="left"/>
      <protection locked="0"/>
    </xf>
    <xf numFmtId="0" fontId="1" fillId="0" borderId="0" xfId="8" applyFont="1" applyBorder="1" applyAlignment="1">
      <alignment horizontal="right"/>
    </xf>
    <xf numFmtId="0" fontId="1" fillId="0" borderId="0" xfId="8" applyFont="1" applyBorder="1" applyAlignment="1">
      <alignment horizontal="right" indent="1"/>
    </xf>
    <xf numFmtId="0" fontId="1" fillId="0" borderId="0" xfId="8" applyFont="1" applyFill="1" applyAlignment="1">
      <alignment horizontal="left"/>
    </xf>
    <xf numFmtId="0" fontId="1" fillId="0" borderId="0" xfId="8" applyFont="1" applyBorder="1" applyAlignment="1">
      <alignment vertical="top"/>
    </xf>
    <xf numFmtId="0" fontId="1" fillId="7" borderId="22" xfId="8" applyFont="1" applyFill="1" applyBorder="1" applyAlignment="1">
      <alignment horizontal="left"/>
    </xf>
    <xf numFmtId="167" fontId="1" fillId="0" borderId="0" xfId="8" applyNumberFormat="1" applyFont="1"/>
    <xf numFmtId="0" fontId="1" fillId="14" borderId="1" xfId="8" applyFont="1" applyFill="1" applyBorder="1" applyAlignment="1">
      <alignment horizontal="center" vertical="top" wrapText="1"/>
    </xf>
    <xf numFmtId="0" fontId="1" fillId="14" borderId="40" xfId="8" applyFont="1" applyFill="1" applyBorder="1"/>
    <xf numFmtId="0" fontId="1" fillId="14" borderId="41" xfId="8" applyFont="1" applyFill="1" applyBorder="1" applyAlignment="1">
      <alignment horizontal="right"/>
    </xf>
    <xf numFmtId="0" fontId="1" fillId="14" borderId="42" xfId="5" applyNumberFormat="1" applyFont="1" applyFill="1" applyBorder="1"/>
    <xf numFmtId="9" fontId="1" fillId="14" borderId="42" xfId="5" applyNumberFormat="1" applyFont="1" applyFill="1" applyBorder="1"/>
    <xf numFmtId="9" fontId="1" fillId="14" borderId="42" xfId="6" applyNumberFormat="1" applyFont="1" applyFill="1" applyBorder="1"/>
    <xf numFmtId="0" fontId="1" fillId="0" borderId="0" xfId="8" applyFont="1" applyBorder="1" applyAlignment="1">
      <alignment horizontal="left" vertical="top" wrapText="1"/>
    </xf>
    <xf numFmtId="0" fontId="1" fillId="0" borderId="38" xfId="8" applyFont="1" applyBorder="1" applyAlignment="1">
      <alignment horizontal="left" vertical="top" wrapText="1"/>
    </xf>
    <xf numFmtId="0" fontId="1" fillId="0" borderId="24" xfId="8" applyFont="1" applyBorder="1" applyAlignment="1">
      <alignment horizontal="left" vertical="top" wrapText="1"/>
    </xf>
    <xf numFmtId="0" fontId="1" fillId="0" borderId="40" xfId="8" applyFont="1" applyBorder="1" applyAlignment="1">
      <alignment horizontal="left" vertical="top" wrapText="1"/>
    </xf>
    <xf numFmtId="0" fontId="1" fillId="0" borderId="42" xfId="8" applyFont="1" applyBorder="1"/>
    <xf numFmtId="0" fontId="1" fillId="0" borderId="40" xfId="8" applyFont="1" applyBorder="1" applyAlignment="1">
      <alignment horizontal="left" vertical="top"/>
    </xf>
    <xf numFmtId="0" fontId="1" fillId="0" borderId="41" xfId="8" applyFont="1" applyBorder="1"/>
    <xf numFmtId="0" fontId="1" fillId="0" borderId="41" xfId="8" applyFont="1" applyBorder="1" applyAlignment="1">
      <alignment horizontal="left" vertical="top" wrapText="1"/>
    </xf>
    <xf numFmtId="0" fontId="1" fillId="0" borderId="42" xfId="8" applyFont="1" applyBorder="1" applyAlignment="1">
      <alignment horizontal="left" vertical="top" wrapText="1"/>
    </xf>
    <xf numFmtId="0" fontId="1" fillId="0" borderId="37" xfId="8" applyFont="1" applyBorder="1" applyAlignment="1">
      <alignment horizontal="left" vertical="top"/>
    </xf>
    <xf numFmtId="0" fontId="1" fillId="0" borderId="39" xfId="8" applyFont="1" applyBorder="1" applyAlignment="1">
      <alignment horizontal="left" vertical="top" wrapText="1"/>
    </xf>
    <xf numFmtId="0" fontId="1" fillId="0" borderId="0" xfId="8" applyFont="1" applyFill="1" applyBorder="1"/>
    <xf numFmtId="9" fontId="1" fillId="0" borderId="0" xfId="5" applyFont="1"/>
    <xf numFmtId="0" fontId="1" fillId="0" borderId="40" xfId="8" applyFont="1" applyBorder="1"/>
    <xf numFmtId="0" fontId="1" fillId="0" borderId="41" xfId="8" applyFont="1" applyBorder="1" applyAlignment="1">
      <alignment horizontal="right"/>
    </xf>
    <xf numFmtId="9" fontId="1" fillId="0" borderId="42" xfId="5" applyNumberFormat="1" applyFont="1" applyBorder="1"/>
    <xf numFmtId="9" fontId="1" fillId="0" borderId="42" xfId="6" applyNumberFormat="1" applyFont="1" applyBorder="1"/>
    <xf numFmtId="0" fontId="1" fillId="5" borderId="40" xfId="8" applyFont="1" applyFill="1" applyBorder="1"/>
    <xf numFmtId="0" fontId="1" fillId="5" borderId="41" xfId="8" applyFont="1" applyFill="1" applyBorder="1" applyAlignment="1">
      <alignment horizontal="left" vertical="top" wrapText="1"/>
    </xf>
    <xf numFmtId="0" fontId="1" fillId="5" borderId="42" xfId="8" applyFont="1" applyFill="1" applyBorder="1" applyAlignment="1">
      <alignment horizontal="left" vertical="top" wrapText="1"/>
    </xf>
    <xf numFmtId="0" fontId="1" fillId="21" borderId="1" xfId="184" applyFont="1" applyFill="1" applyBorder="1" applyProtection="1">
      <protection locked="0"/>
    </xf>
    <xf numFmtId="167" fontId="1" fillId="0" borderId="1" xfId="184" applyNumberFormat="1" applyFont="1" applyBorder="1"/>
    <xf numFmtId="0" fontId="1" fillId="0" borderId="0" xfId="184" applyFont="1"/>
    <xf numFmtId="164" fontId="1" fillId="14" borderId="11" xfId="1" applyFont="1" applyFill="1" applyBorder="1" applyProtection="1"/>
    <xf numFmtId="164" fontId="1" fillId="3" borderId="11" xfId="1" applyFont="1" applyFill="1" applyBorder="1" applyProtection="1"/>
    <xf numFmtId="164" fontId="1" fillId="14" borderId="0" xfId="1" applyFont="1" applyFill="1" applyBorder="1" applyProtection="1"/>
    <xf numFmtId="0" fontId="28" fillId="0" borderId="3" xfId="65" applyFont="1" applyBorder="1" applyProtection="1"/>
    <xf numFmtId="0" fontId="60" fillId="0" borderId="3" xfId="39" applyBorder="1" applyProtection="1"/>
    <xf numFmtId="169" fontId="1" fillId="3" borderId="25" xfId="7" applyNumberFormat="1" applyFont="1" applyBorder="1" applyAlignment="1" applyProtection="1">
      <alignment horizontal="center" vertical="top" wrapText="1"/>
      <protection locked="0"/>
    </xf>
    <xf numFmtId="169" fontId="1" fillId="3" borderId="26" xfId="7" applyNumberFormat="1" applyFont="1" applyBorder="1" applyAlignment="1" applyProtection="1">
      <alignment horizontal="center" vertical="top" wrapText="1"/>
      <protection locked="0"/>
    </xf>
    <xf numFmtId="169" fontId="1" fillId="3" borderId="27" xfId="7" applyNumberFormat="1" applyFont="1" applyBorder="1" applyAlignment="1" applyProtection="1">
      <alignment horizontal="center" vertical="top" wrapText="1"/>
      <protection locked="0"/>
    </xf>
    <xf numFmtId="0" fontId="1" fillId="0" borderId="44" xfId="8" applyFont="1" applyBorder="1" applyAlignment="1">
      <alignment horizontal="left" vertical="top"/>
    </xf>
    <xf numFmtId="0" fontId="1" fillId="0" borderId="36" xfId="8" applyFont="1" applyBorder="1" applyAlignment="1">
      <alignment horizontal="left" vertical="top"/>
    </xf>
    <xf numFmtId="0" fontId="1" fillId="0" borderId="45" xfId="8" applyFont="1" applyBorder="1" applyAlignment="1">
      <alignment horizontal="left" vertical="top"/>
    </xf>
    <xf numFmtId="0" fontId="1" fillId="5" borderId="40" xfId="8" applyFont="1" applyFill="1" applyBorder="1" applyAlignment="1">
      <alignment horizontal="left" vertical="top" wrapText="1"/>
    </xf>
    <xf numFmtId="0" fontId="1" fillId="5" borderId="42" xfId="8" applyFont="1" applyFill="1" applyBorder="1" applyAlignment="1">
      <alignment horizontal="left" vertical="top" wrapText="1"/>
    </xf>
    <xf numFmtId="0" fontId="1" fillId="0" borderId="32" xfId="8" applyFont="1" applyBorder="1" applyAlignment="1">
      <alignment horizontal="left" vertical="top" wrapText="1"/>
    </xf>
    <xf numFmtId="0" fontId="1" fillId="0" borderId="33" xfId="8" applyFont="1" applyBorder="1" applyAlignment="1">
      <alignment horizontal="left" vertical="top" wrapText="1"/>
    </xf>
    <xf numFmtId="0" fontId="1" fillId="0" borderId="34" xfId="8" applyFont="1" applyBorder="1" applyAlignment="1">
      <alignment horizontal="left" vertical="top" wrapText="1"/>
    </xf>
    <xf numFmtId="0" fontId="1" fillId="0" borderId="35" xfId="8" applyFont="1" applyBorder="1" applyAlignment="1">
      <alignment horizontal="left" vertical="top" wrapText="1"/>
    </xf>
    <xf numFmtId="0" fontId="1" fillId="0" borderId="0" xfId="8" applyFont="1" applyBorder="1" applyAlignment="1">
      <alignment horizontal="left" vertical="top" wrapText="1"/>
    </xf>
    <xf numFmtId="0" fontId="1" fillId="0" borderId="36" xfId="8" applyFont="1" applyBorder="1" applyAlignment="1">
      <alignment horizontal="left" vertical="top" wrapText="1"/>
    </xf>
    <xf numFmtId="0" fontId="1" fillId="0" borderId="37" xfId="8" applyFont="1" applyBorder="1" applyAlignment="1">
      <alignment horizontal="left" vertical="top" wrapText="1"/>
    </xf>
    <xf numFmtId="0" fontId="1" fillId="0" borderId="38" xfId="8" applyFont="1" applyBorder="1" applyAlignment="1">
      <alignment horizontal="left" vertical="top" wrapText="1"/>
    </xf>
    <xf numFmtId="0" fontId="1" fillId="0" borderId="39" xfId="8" applyFont="1" applyBorder="1" applyAlignment="1">
      <alignment horizontal="left" vertical="top" wrapText="1"/>
    </xf>
    <xf numFmtId="0" fontId="23" fillId="0" borderId="25" xfId="8" applyFont="1" applyBorder="1" applyAlignment="1">
      <alignment horizontal="left" vertical="top" wrapText="1"/>
    </xf>
    <xf numFmtId="0" fontId="23" fillId="0" borderId="26" xfId="8" applyFont="1" applyBorder="1" applyAlignment="1">
      <alignment horizontal="left" vertical="top" wrapText="1"/>
    </xf>
    <xf numFmtId="0" fontId="23" fillId="0" borderId="27" xfId="8" applyFont="1" applyBorder="1" applyAlignment="1">
      <alignment horizontal="left" vertical="top" wrapText="1"/>
    </xf>
    <xf numFmtId="0" fontId="1" fillId="5" borderId="40" xfId="8" applyFont="1" applyFill="1" applyBorder="1" applyAlignment="1">
      <alignment horizontal="center"/>
    </xf>
    <xf numFmtId="0" fontId="1" fillId="5" borderId="41" xfId="8" applyFont="1" applyFill="1" applyBorder="1" applyAlignment="1">
      <alignment horizontal="center"/>
    </xf>
    <xf numFmtId="0" fontId="1" fillId="5" borderId="42" xfId="8" applyFont="1" applyFill="1" applyBorder="1" applyAlignment="1">
      <alignment horizontal="center"/>
    </xf>
    <xf numFmtId="0" fontId="23" fillId="9" borderId="61" xfId="184" applyFont="1" applyFill="1" applyBorder="1" applyAlignment="1">
      <alignment horizontal="center" vertical="center"/>
    </xf>
    <xf numFmtId="0" fontId="23" fillId="9" borderId="0" xfId="184" applyFont="1" applyFill="1" applyBorder="1" applyAlignment="1">
      <alignment horizontal="center" vertical="center"/>
    </xf>
    <xf numFmtId="0" fontId="23" fillId="9" borderId="62" xfId="184" applyFont="1" applyFill="1" applyBorder="1" applyAlignment="1">
      <alignment horizontal="center" vertical="center"/>
    </xf>
    <xf numFmtId="0" fontId="23" fillId="9" borderId="57" xfId="184" applyFont="1" applyFill="1" applyBorder="1" applyAlignment="1">
      <alignment horizontal="center" vertical="center"/>
    </xf>
    <xf numFmtId="0" fontId="23" fillId="9" borderId="66" xfId="184" applyFont="1" applyFill="1" applyBorder="1" applyAlignment="1">
      <alignment horizontal="center" vertical="center"/>
    </xf>
    <xf numFmtId="0" fontId="23" fillId="9" borderId="58" xfId="184" applyFont="1" applyFill="1" applyBorder="1" applyAlignment="1">
      <alignment horizontal="center" vertical="center"/>
    </xf>
    <xf numFmtId="0" fontId="23" fillId="9" borderId="59" xfId="184" applyFont="1" applyFill="1" applyBorder="1" applyAlignment="1">
      <alignment horizontal="center" vertical="center"/>
    </xf>
    <xf numFmtId="0" fontId="2" fillId="9" borderId="93" xfId="184" applyFill="1" applyBorder="1" applyAlignment="1">
      <alignment horizontal="center" vertical="center"/>
    </xf>
    <xf numFmtId="0" fontId="2" fillId="9" borderId="8" xfId="184" applyFill="1" applyBorder="1" applyAlignment="1">
      <alignment horizontal="center" vertical="center"/>
    </xf>
    <xf numFmtId="0" fontId="2" fillId="9" borderId="94" xfId="184" applyFill="1" applyBorder="1" applyAlignment="1">
      <alignment horizontal="center" vertical="center"/>
    </xf>
    <xf numFmtId="0" fontId="2" fillId="9" borderId="59" xfId="184" applyFill="1" applyBorder="1" applyAlignment="1">
      <alignment horizontal="center" vertical="center"/>
    </xf>
    <xf numFmtId="0" fontId="2" fillId="9" borderId="61" xfId="184" applyFill="1" applyBorder="1" applyAlignment="1">
      <alignment horizontal="center" vertical="center"/>
    </xf>
    <xf numFmtId="0" fontId="2" fillId="19" borderId="59" xfId="184" applyFill="1" applyBorder="1" applyAlignment="1">
      <alignment horizontal="center" vertical="center" wrapText="1"/>
    </xf>
    <xf numFmtId="0" fontId="2" fillId="19" borderId="60" xfId="184" applyFill="1" applyBorder="1" applyAlignment="1">
      <alignment horizontal="center" vertical="center" wrapText="1"/>
    </xf>
    <xf numFmtId="0" fontId="2" fillId="19" borderId="93" xfId="184" applyFill="1" applyBorder="1" applyAlignment="1">
      <alignment horizontal="center" vertical="center" wrapText="1"/>
    </xf>
    <xf numFmtId="0" fontId="2" fillId="19" borderId="94" xfId="184" applyFill="1" applyBorder="1" applyAlignment="1">
      <alignment horizontal="center" vertical="center" wrapText="1"/>
    </xf>
    <xf numFmtId="0" fontId="2" fillId="9" borderId="60" xfId="184" applyFill="1" applyBorder="1" applyAlignment="1">
      <alignment horizontal="center" vertical="center" wrapText="1"/>
    </xf>
    <xf numFmtId="0" fontId="2" fillId="9" borderId="62" xfId="184" applyFill="1" applyBorder="1" applyAlignment="1">
      <alignment horizontal="center" vertical="center" wrapText="1"/>
    </xf>
    <xf numFmtId="0" fontId="14" fillId="9" borderId="1" xfId="184" applyFont="1" applyFill="1" applyBorder="1" applyAlignment="1">
      <alignment horizontal="center" vertical="top" wrapText="1"/>
    </xf>
    <xf numFmtId="0" fontId="14" fillId="9" borderId="60" xfId="184" applyFont="1" applyFill="1" applyBorder="1" applyAlignment="1">
      <alignment horizontal="center" vertical="top" wrapText="1"/>
    </xf>
    <xf numFmtId="0" fontId="14" fillId="9" borderId="62" xfId="184" applyFont="1" applyFill="1" applyBorder="1" applyAlignment="1">
      <alignment horizontal="center" vertical="top" wrapText="1"/>
    </xf>
    <xf numFmtId="0" fontId="2" fillId="9" borderId="93" xfId="184" applyFill="1" applyBorder="1" applyAlignment="1">
      <alignment horizontal="center"/>
    </xf>
    <xf numFmtId="0" fontId="2" fillId="9" borderId="8" xfId="184" applyFill="1" applyBorder="1" applyAlignment="1">
      <alignment horizontal="center"/>
    </xf>
    <xf numFmtId="0" fontId="2" fillId="9" borderId="94" xfId="184" applyFill="1" applyBorder="1" applyAlignment="1">
      <alignment horizontal="center"/>
    </xf>
    <xf numFmtId="0" fontId="14" fillId="9" borderId="89" xfId="184" applyFont="1" applyFill="1" applyBorder="1" applyAlignment="1">
      <alignment horizontal="center" vertical="top" wrapText="1"/>
    </xf>
    <xf numFmtId="0" fontId="2" fillId="9" borderId="89" xfId="184" applyFill="1" applyBorder="1" applyAlignment="1">
      <alignment horizontal="center" vertical="top" wrapText="1"/>
    </xf>
    <xf numFmtId="0" fontId="2" fillId="9" borderId="107" xfId="184" applyFill="1" applyBorder="1" applyAlignment="1">
      <alignment horizontal="center" vertical="top" wrapText="1"/>
    </xf>
    <xf numFmtId="0" fontId="2" fillId="19" borderId="61" xfId="184" applyFill="1" applyBorder="1" applyAlignment="1">
      <alignment horizontal="center" vertical="center" wrapText="1"/>
    </xf>
    <xf numFmtId="0" fontId="2" fillId="19" borderId="102" xfId="184" applyFill="1" applyBorder="1" applyAlignment="1">
      <alignment horizontal="center" vertical="center" wrapText="1"/>
    </xf>
    <xf numFmtId="0" fontId="2" fillId="0" borderId="1" xfId="184" applyBorder="1" applyAlignment="1">
      <alignment horizontal="center"/>
    </xf>
    <xf numFmtId="0" fontId="14" fillId="9" borderId="95" xfId="184" applyFont="1" applyFill="1" applyBorder="1" applyAlignment="1">
      <alignment horizontal="center" vertical="top" wrapText="1"/>
    </xf>
    <xf numFmtId="0" fontId="14" fillId="9" borderId="7" xfId="184" applyFont="1" applyFill="1" applyBorder="1" applyAlignment="1">
      <alignment horizontal="center" vertical="top" wrapText="1"/>
    </xf>
    <xf numFmtId="0" fontId="2" fillId="9" borderId="63" xfId="184" applyFill="1" applyBorder="1" applyAlignment="1">
      <alignment horizontal="center" vertical="center"/>
    </xf>
    <xf numFmtId="0" fontId="2" fillId="9" borderId="65" xfId="184" applyFill="1" applyBorder="1" applyAlignment="1">
      <alignment horizontal="center" vertical="center"/>
    </xf>
    <xf numFmtId="0" fontId="2" fillId="9" borderId="96" xfId="184" applyFill="1" applyBorder="1" applyAlignment="1">
      <alignment horizontal="center" vertical="center"/>
    </xf>
    <xf numFmtId="0" fontId="2" fillId="9" borderId="1" xfId="184" applyFill="1" applyBorder="1" applyAlignment="1">
      <alignment horizontal="center" vertical="top"/>
    </xf>
    <xf numFmtId="0" fontId="2" fillId="9" borderId="48" xfId="184" applyFill="1" applyBorder="1" applyAlignment="1">
      <alignment horizontal="center" vertical="top"/>
    </xf>
    <xf numFmtId="0" fontId="2" fillId="9" borderId="2" xfId="184" applyFill="1" applyBorder="1" applyAlignment="1">
      <alignment horizontal="center" vertical="top"/>
    </xf>
    <xf numFmtId="0" fontId="2" fillId="9" borderId="5" xfId="184" applyFill="1" applyBorder="1" applyAlignment="1">
      <alignment horizontal="center" vertical="top"/>
    </xf>
    <xf numFmtId="0" fontId="14" fillId="9" borderId="97" xfId="184" applyFont="1" applyFill="1" applyBorder="1" applyAlignment="1">
      <alignment horizontal="center" vertical="top" wrapText="1"/>
    </xf>
    <xf numFmtId="0" fontId="2" fillId="9" borderId="103" xfId="184" applyFill="1" applyBorder="1" applyAlignment="1">
      <alignment horizontal="center" vertical="top" wrapText="1"/>
    </xf>
    <xf numFmtId="0" fontId="2" fillId="9" borderId="105" xfId="184" applyFill="1" applyBorder="1" applyAlignment="1">
      <alignment horizontal="center" vertical="top" wrapText="1"/>
    </xf>
    <xf numFmtId="0" fontId="14" fillId="9" borderId="50" xfId="184" applyFont="1" applyFill="1" applyBorder="1" applyAlignment="1">
      <alignment horizontal="center" vertical="top" wrapText="1"/>
    </xf>
    <xf numFmtId="0" fontId="2" fillId="9" borderId="1" xfId="184" applyFill="1" applyBorder="1" applyAlignment="1">
      <alignment horizontal="center" vertical="top" wrapText="1"/>
    </xf>
    <xf numFmtId="0" fontId="2" fillId="9" borderId="48" xfId="184" applyFill="1" applyBorder="1" applyAlignment="1">
      <alignment horizontal="center" vertical="top" wrapText="1"/>
    </xf>
    <xf numFmtId="49" fontId="14" fillId="9" borderId="98" xfId="184" applyNumberFormat="1" applyFont="1" applyFill="1" applyBorder="1" applyAlignment="1">
      <alignment horizontal="center" vertical="top" wrapText="1"/>
    </xf>
    <xf numFmtId="49" fontId="2" fillId="9" borderId="104" xfId="184" applyNumberFormat="1" applyFill="1" applyBorder="1" applyAlignment="1">
      <alignment horizontal="center" vertical="top" wrapText="1"/>
    </xf>
    <xf numFmtId="49" fontId="2" fillId="9" borderId="106" xfId="184" applyNumberFormat="1" applyFill="1" applyBorder="1" applyAlignment="1">
      <alignment horizontal="center" vertical="top" wrapText="1"/>
    </xf>
    <xf numFmtId="0" fontId="14" fillId="9" borderId="10" xfId="184" applyFont="1" applyFill="1" applyBorder="1" applyAlignment="1">
      <alignment horizontal="center" vertical="top" wrapText="1"/>
    </xf>
    <xf numFmtId="0" fontId="2" fillId="9" borderId="92" xfId="184" applyFill="1" applyBorder="1" applyAlignment="1">
      <alignment horizontal="center" vertical="top" wrapText="1"/>
    </xf>
    <xf numFmtId="0" fontId="2" fillId="9" borderId="4" xfId="184" applyFill="1" applyBorder="1" applyAlignment="1">
      <alignment horizontal="center" vertical="top" wrapText="1"/>
    </xf>
    <xf numFmtId="0" fontId="14" fillId="9" borderId="99" xfId="184" applyFont="1" applyFill="1" applyBorder="1" applyAlignment="1">
      <alignment horizontal="center" vertical="top" wrapText="1"/>
    </xf>
    <xf numFmtId="0" fontId="14" fillId="9" borderId="100" xfId="184" applyFont="1" applyFill="1" applyBorder="1" applyAlignment="1">
      <alignment horizontal="center" vertical="top" wrapText="1"/>
    </xf>
    <xf numFmtId="0" fontId="14" fillId="9" borderId="101" xfId="184" applyFont="1" applyFill="1" applyBorder="1" applyAlignment="1">
      <alignment horizontal="center" vertical="top" wrapText="1"/>
    </xf>
    <xf numFmtId="0" fontId="2" fillId="9" borderId="104" xfId="184" applyFill="1" applyBorder="1" applyAlignment="1">
      <alignment horizontal="center" vertical="top" wrapText="1"/>
    </xf>
    <xf numFmtId="0" fontId="2" fillId="9" borderId="106" xfId="184" applyFill="1" applyBorder="1" applyAlignment="1">
      <alignment horizontal="center" vertical="top" wrapText="1"/>
    </xf>
    <xf numFmtId="3" fontId="14"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3" fontId="14" fillId="0" borderId="1" xfId="0" applyNumberFormat="1" applyFont="1" applyBorder="1" applyAlignment="1">
      <alignment horizontal="center" vertical="center"/>
    </xf>
    <xf numFmtId="3" fontId="0" fillId="0" borderId="1" xfId="0" applyNumberFormat="1" applyBorder="1" applyAlignment="1">
      <alignment horizontal="center" vertical="center"/>
    </xf>
    <xf numFmtId="0" fontId="0" fillId="11" borderId="48" xfId="0" applyFill="1" applyBorder="1" applyAlignment="1">
      <alignment horizontal="center" vertical="center"/>
    </xf>
    <xf numFmtId="0" fontId="0" fillId="11" borderId="50" xfId="0" applyFill="1" applyBorder="1" applyAlignment="1">
      <alignment horizontal="center" vertical="center"/>
    </xf>
    <xf numFmtId="0" fontId="14" fillId="0" borderId="1" xfId="0" applyFont="1" applyBorder="1" applyAlignment="1">
      <alignment horizontal="center" vertical="center"/>
    </xf>
    <xf numFmtId="0" fontId="0" fillId="0" borderId="1" xfId="0" applyBorder="1" applyAlignment="1">
      <alignment horizontal="center" vertical="center"/>
    </xf>
    <xf numFmtId="3" fontId="0" fillId="5" borderId="1" xfId="0" applyNumberFormat="1" applyFill="1" applyBorder="1" applyAlignment="1">
      <alignment horizontal="center" vertical="center"/>
    </xf>
    <xf numFmtId="3" fontId="0" fillId="11" borderId="48" xfId="0" applyNumberFormat="1" applyFill="1" applyBorder="1" applyAlignment="1">
      <alignment horizontal="center" vertical="center"/>
    </xf>
    <xf numFmtId="3" fontId="0" fillId="11" borderId="50" xfId="0" applyNumberFormat="1" applyFill="1" applyBorder="1" applyAlignment="1">
      <alignment horizontal="center" vertical="center"/>
    </xf>
    <xf numFmtId="3" fontId="0" fillId="14" borderId="1" xfId="0" applyNumberFormat="1" applyFill="1" applyBorder="1" applyAlignment="1">
      <alignment horizontal="center" vertical="center"/>
    </xf>
    <xf numFmtId="49" fontId="14" fillId="15" borderId="1" xfId="0" applyNumberFormat="1" applyFont="1" applyFill="1" applyBorder="1" applyAlignment="1">
      <alignment horizontal="center" vertical="top" wrapText="1"/>
    </xf>
    <xf numFmtId="49" fontId="0" fillId="15" borderId="1" xfId="0" applyNumberFormat="1" applyFill="1" applyBorder="1" applyAlignment="1">
      <alignment horizontal="center" vertical="top" wrapText="1"/>
    </xf>
    <xf numFmtId="0" fontId="14" fillId="15" borderId="1" xfId="0" applyFont="1" applyFill="1" applyBorder="1" applyAlignment="1">
      <alignment horizontal="center" vertical="top" wrapText="1"/>
    </xf>
    <xf numFmtId="0" fontId="0" fillId="15" borderId="1" xfId="0" applyFill="1" applyBorder="1" applyAlignment="1">
      <alignment horizontal="center" vertical="top" wrapText="1"/>
    </xf>
    <xf numFmtId="0" fontId="0" fillId="11" borderId="1" xfId="0" applyFill="1" applyBorder="1" applyAlignment="1">
      <alignment horizontal="center" vertical="top"/>
    </xf>
    <xf numFmtId="0" fontId="0" fillId="15" borderId="1" xfId="0" applyFill="1" applyBorder="1" applyAlignment="1">
      <alignment horizontal="center" vertical="top"/>
    </xf>
    <xf numFmtId="0" fontId="46" fillId="0" borderId="0" xfId="0" applyFont="1" applyAlignment="1">
      <alignment horizontal="left" vertical="center"/>
    </xf>
    <xf numFmtId="0" fontId="46" fillId="0" borderId="0" xfId="0" applyFont="1" applyBorder="1" applyAlignment="1">
      <alignment horizontal="left" vertical="center"/>
    </xf>
    <xf numFmtId="0" fontId="2" fillId="18" borderId="48" xfId="184" applyFill="1" applyBorder="1" applyAlignment="1">
      <alignment horizontal="center" vertical="top" wrapText="1"/>
    </xf>
    <xf numFmtId="0" fontId="2" fillId="18" borderId="49" xfId="184" applyFill="1" applyBorder="1" applyAlignment="1">
      <alignment horizontal="center" vertical="top" wrapText="1"/>
    </xf>
    <xf numFmtId="0" fontId="2" fillId="18" borderId="1" xfId="184" applyFill="1" applyBorder="1" applyAlignment="1">
      <alignment horizontal="center" vertical="top" wrapText="1"/>
    </xf>
    <xf numFmtId="0" fontId="2" fillId="14" borderId="2" xfId="184" applyFill="1" applyBorder="1" applyAlignment="1">
      <alignment horizontal="center" vertical="center"/>
    </xf>
    <xf numFmtId="0" fontId="2" fillId="14" borderId="88" xfId="184" applyFill="1" applyBorder="1" applyAlignment="1">
      <alignment horizontal="center" vertical="center"/>
    </xf>
    <xf numFmtId="0" fontId="2" fillId="14" borderId="92" xfId="184" applyFill="1" applyBorder="1" applyAlignment="1">
      <alignment horizontal="center" vertical="center"/>
    </xf>
    <xf numFmtId="0" fontId="2" fillId="18" borderId="5" xfId="184" applyFill="1" applyBorder="1" applyAlignment="1">
      <alignment horizontal="center" vertical="center"/>
    </xf>
    <xf numFmtId="0" fontId="2" fillId="18" borderId="3" xfId="184" applyFill="1" applyBorder="1" applyAlignment="1">
      <alignment horizontal="center" vertical="center"/>
    </xf>
    <xf numFmtId="0" fontId="2" fillId="18" borderId="4" xfId="184" applyFill="1" applyBorder="1" applyAlignment="1">
      <alignment horizontal="center" vertical="center"/>
    </xf>
    <xf numFmtId="0" fontId="2" fillId="18" borderId="6" xfId="184" applyFill="1" applyBorder="1" applyAlignment="1">
      <alignment horizontal="center" vertical="center"/>
    </xf>
    <xf numFmtId="0" fontId="2" fillId="18" borderId="0" xfId="184" applyFill="1" applyBorder="1" applyAlignment="1">
      <alignment horizontal="center" vertical="center"/>
    </xf>
    <xf numFmtId="0" fontId="2" fillId="18" borderId="7" xfId="184" applyFill="1" applyBorder="1" applyAlignment="1">
      <alignment horizontal="center" vertical="center"/>
    </xf>
    <xf numFmtId="0" fontId="2" fillId="18" borderId="9" xfId="184" applyFill="1" applyBorder="1" applyAlignment="1">
      <alignment horizontal="center" vertical="center"/>
    </xf>
    <xf numFmtId="0" fontId="2" fillId="18" borderId="8" xfId="184" applyFill="1" applyBorder="1" applyAlignment="1">
      <alignment horizontal="center" vertical="center"/>
    </xf>
    <xf numFmtId="0" fontId="2" fillId="18" borderId="10" xfId="184" applyFill="1" applyBorder="1" applyAlignment="1">
      <alignment horizontal="center" vertical="center"/>
    </xf>
    <xf numFmtId="0" fontId="2" fillId="18" borderId="48" xfId="184" applyFill="1" applyBorder="1" applyAlignment="1">
      <alignment horizontal="center" vertical="top"/>
    </xf>
    <xf numFmtId="0" fontId="2" fillId="18" borderId="49" xfId="184" applyFill="1" applyBorder="1" applyAlignment="1">
      <alignment horizontal="center" vertical="top"/>
    </xf>
    <xf numFmtId="0" fontId="2" fillId="18" borderId="50" xfId="184" applyFill="1" applyBorder="1" applyAlignment="1">
      <alignment horizontal="center" vertical="top"/>
    </xf>
    <xf numFmtId="0" fontId="2" fillId="18" borderId="1" xfId="184" applyFill="1" applyBorder="1" applyAlignment="1">
      <alignment horizontal="center" vertical="top"/>
    </xf>
    <xf numFmtId="0" fontId="2" fillId="9" borderId="59" xfId="184" applyFill="1" applyBorder="1" applyAlignment="1">
      <alignment horizontal="center" vertical="top"/>
    </xf>
    <xf numFmtId="0" fontId="2" fillId="9" borderId="61" xfId="184" applyFill="1" applyBorder="1" applyAlignment="1">
      <alignment horizontal="center" vertical="top"/>
    </xf>
    <xf numFmtId="0" fontId="2" fillId="9" borderId="63" xfId="184" applyFill="1" applyBorder="1" applyAlignment="1">
      <alignment horizontal="center" vertical="top"/>
    </xf>
    <xf numFmtId="0" fontId="2" fillId="9" borderId="95" xfId="184" applyFill="1" applyBorder="1" applyAlignment="1">
      <alignment horizontal="center" vertical="top"/>
    </xf>
    <xf numFmtId="0" fontId="2" fillId="9" borderId="7" xfId="184" applyFill="1" applyBorder="1" applyAlignment="1">
      <alignment horizontal="center" vertical="top"/>
    </xf>
    <xf numFmtId="0" fontId="2" fillId="9" borderId="109" xfId="184" applyFill="1" applyBorder="1" applyAlignment="1">
      <alignment horizontal="center" vertical="top"/>
    </xf>
    <xf numFmtId="0" fontId="14" fillId="9" borderId="110" xfId="184" applyFont="1" applyFill="1" applyBorder="1" applyAlignment="1">
      <alignment horizontal="center" vertical="top" wrapText="1"/>
    </xf>
    <xf numFmtId="49" fontId="14" fillId="9" borderId="100" xfId="184" applyNumberFormat="1" applyFont="1" applyFill="1" applyBorder="1" applyAlignment="1">
      <alignment horizontal="center" vertical="top" wrapText="1"/>
    </xf>
    <xf numFmtId="49" fontId="14" fillId="9" borderId="1" xfId="184" applyNumberFormat="1" applyFont="1" applyFill="1" applyBorder="1" applyAlignment="1">
      <alignment horizontal="center" vertical="top" wrapText="1"/>
    </xf>
    <xf numFmtId="49" fontId="14" fillId="9" borderId="110" xfId="184" applyNumberFormat="1" applyFont="1" applyFill="1" applyBorder="1" applyAlignment="1">
      <alignment horizontal="center" vertical="top" wrapText="1"/>
    </xf>
    <xf numFmtId="0" fontId="14" fillId="9" borderId="108" xfId="184" applyFont="1" applyFill="1" applyBorder="1" applyAlignment="1">
      <alignment horizontal="center" vertical="top" wrapText="1"/>
    </xf>
    <xf numFmtId="0" fontId="14" fillId="9" borderId="49" xfId="184" applyFont="1" applyFill="1" applyBorder="1" applyAlignment="1">
      <alignment horizontal="center" vertical="top" wrapText="1"/>
    </xf>
    <xf numFmtId="0" fontId="14" fillId="9" borderId="111" xfId="184" applyFont="1" applyFill="1" applyBorder="1" applyAlignment="1">
      <alignment horizontal="center" vertical="top" wrapText="1"/>
    </xf>
    <xf numFmtId="0" fontId="23" fillId="9" borderId="64" xfId="184" applyFont="1" applyFill="1" applyBorder="1" applyAlignment="1">
      <alignment horizontal="center" vertical="center"/>
    </xf>
    <xf numFmtId="0" fontId="23" fillId="9" borderId="60" xfId="184" applyFont="1" applyFill="1" applyBorder="1" applyAlignment="1">
      <alignment horizontal="center" vertical="center"/>
    </xf>
    <xf numFmtId="0" fontId="48" fillId="16" borderId="78" xfId="0" applyFont="1" applyFill="1" applyBorder="1" applyAlignment="1">
      <alignment horizontal="left"/>
    </xf>
    <xf numFmtId="0" fontId="48" fillId="16" borderId="82" xfId="0" applyFont="1" applyFill="1" applyBorder="1" applyAlignment="1">
      <alignment horizontal="left"/>
    </xf>
    <xf numFmtId="0" fontId="48" fillId="16" borderId="71" xfId="0" applyFont="1" applyFill="1" applyBorder="1" applyAlignment="1">
      <alignment horizontal="left"/>
    </xf>
    <xf numFmtId="0" fontId="50" fillId="0" borderId="57" xfId="0" applyFont="1" applyBorder="1" applyAlignment="1">
      <alignment horizontal="left"/>
    </xf>
    <xf numFmtId="0" fontId="50" fillId="0" borderId="66" xfId="0" applyFont="1" applyBorder="1" applyAlignment="1">
      <alignment horizontal="left"/>
    </xf>
    <xf numFmtId="0" fontId="50" fillId="0" borderId="58" xfId="0" applyFont="1" applyBorder="1" applyAlignment="1">
      <alignment horizontal="left"/>
    </xf>
    <xf numFmtId="0" fontId="48" fillId="0" borderId="57" xfId="0" applyFont="1" applyBorder="1" applyAlignment="1">
      <alignment horizontal="left" vertical="center" wrapText="1"/>
    </xf>
    <xf numFmtId="0" fontId="48" fillId="0" borderId="66" xfId="0" applyFont="1" applyBorder="1" applyAlignment="1">
      <alignment horizontal="left" vertical="center" wrapText="1"/>
    </xf>
    <xf numFmtId="0" fontId="48" fillId="0" borderId="58" xfId="0" applyFont="1" applyBorder="1" applyAlignment="1">
      <alignment horizontal="left" vertical="center" wrapText="1"/>
    </xf>
    <xf numFmtId="0" fontId="48" fillId="0" borderId="57" xfId="0" applyFont="1" applyBorder="1" applyAlignment="1">
      <alignment horizontal="left"/>
    </xf>
    <xf numFmtId="0" fontId="48" fillId="0" borderId="66" xfId="0" applyFont="1" applyBorder="1" applyAlignment="1">
      <alignment horizontal="left"/>
    </xf>
    <xf numFmtId="0" fontId="48" fillId="0" borderId="58" xfId="0" applyFont="1" applyBorder="1" applyAlignment="1">
      <alignment horizontal="left"/>
    </xf>
    <xf numFmtId="0" fontId="48" fillId="0" borderId="67" xfId="0" applyFont="1" applyBorder="1" applyAlignment="1">
      <alignment horizontal="center" vertical="center" wrapText="1"/>
    </xf>
    <xf numFmtId="0" fontId="48" fillId="0" borderId="83" xfId="0" applyFont="1" applyBorder="1" applyAlignment="1">
      <alignment horizontal="center" vertical="center" wrapText="1"/>
    </xf>
    <xf numFmtId="0" fontId="13" fillId="10" borderId="79" xfId="0" applyFont="1" applyFill="1" applyBorder="1" applyAlignment="1">
      <alignment horizontal="left"/>
    </xf>
    <xf numFmtId="0" fontId="13" fillId="10" borderId="80" xfId="0" applyFont="1" applyFill="1" applyBorder="1" applyAlignment="1">
      <alignment horizontal="left"/>
    </xf>
    <xf numFmtId="0" fontId="13" fillId="10" borderId="81" xfId="0" applyFont="1" applyFill="1" applyBorder="1" applyAlignment="1">
      <alignment horizontal="left"/>
    </xf>
    <xf numFmtId="0" fontId="49" fillId="14" borderId="61" xfId="0" applyFont="1" applyFill="1" applyBorder="1" applyAlignment="1">
      <alignment horizontal="left"/>
    </xf>
    <xf numFmtId="0" fontId="49" fillId="14" borderId="62" xfId="0" applyFont="1" applyFill="1" applyBorder="1" applyAlignment="1">
      <alignment horizontal="left"/>
    </xf>
    <xf numFmtId="0" fontId="48" fillId="0" borderId="75" xfId="0" applyFont="1" applyBorder="1" applyAlignment="1">
      <alignment horizontal="left" wrapText="1"/>
    </xf>
    <xf numFmtId="0" fontId="48" fillId="0" borderId="66" xfId="0" applyFont="1" applyBorder="1" applyAlignment="1">
      <alignment horizontal="left" wrapText="1"/>
    </xf>
    <xf numFmtId="0" fontId="48" fillId="0" borderId="58" xfId="0" applyFont="1" applyBorder="1" applyAlignment="1">
      <alignment horizontal="left" wrapText="1"/>
    </xf>
    <xf numFmtId="0" fontId="49" fillId="0" borderId="61" xfId="0" applyFont="1" applyBorder="1" applyAlignment="1">
      <alignment horizontal="left"/>
    </xf>
    <xf numFmtId="0" fontId="49" fillId="0" borderId="0" xfId="0" applyFont="1" applyBorder="1" applyAlignment="1">
      <alignment horizontal="left"/>
    </xf>
    <xf numFmtId="0" fontId="49" fillId="0" borderId="59" xfId="0" applyFont="1" applyBorder="1" applyAlignment="1">
      <alignment horizontal="left"/>
    </xf>
    <xf numFmtId="0" fontId="49" fillId="0" borderId="64" xfId="0" applyFont="1" applyBorder="1" applyAlignment="1">
      <alignment horizontal="left"/>
    </xf>
    <xf numFmtId="0" fontId="53" fillId="0" borderId="0" xfId="0" applyFont="1" applyAlignment="1">
      <alignment horizontal="left" vertical="center" wrapText="1"/>
    </xf>
    <xf numFmtId="0" fontId="48" fillId="0" borderId="84" xfId="0" applyFont="1" applyBorder="1" applyAlignment="1">
      <alignment horizontal="center"/>
    </xf>
    <xf numFmtId="0" fontId="48" fillId="0" borderId="85" xfId="0" applyFont="1" applyBorder="1" applyAlignment="1">
      <alignment horizontal="center"/>
    </xf>
    <xf numFmtId="0" fontId="48" fillId="0" borderId="86" xfId="0" applyFont="1" applyBorder="1" applyAlignment="1">
      <alignment horizontal="center"/>
    </xf>
    <xf numFmtId="0" fontId="48" fillId="0" borderId="76" xfId="0" applyFont="1" applyBorder="1" applyAlignment="1">
      <alignment horizontal="center" vertical="center" wrapText="1"/>
    </xf>
    <xf numFmtId="0" fontId="48" fillId="0" borderId="60" xfId="0" applyFont="1" applyBorder="1" applyAlignment="1">
      <alignment horizontal="center" vertical="center" wrapText="1"/>
    </xf>
    <xf numFmtId="0" fontId="48" fillId="0" borderId="77" xfId="0" applyFont="1" applyBorder="1" applyAlignment="1">
      <alignment horizontal="center" vertical="center" wrapText="1"/>
    </xf>
    <xf numFmtId="0" fontId="48" fillId="0" borderId="62" xfId="0" applyFont="1" applyBorder="1" applyAlignment="1">
      <alignment horizontal="center" vertical="center" wrapText="1"/>
    </xf>
    <xf numFmtId="0" fontId="48" fillId="0" borderId="68" xfId="0" applyFont="1" applyBorder="1" applyAlignment="1">
      <alignment horizontal="center" vertical="center" wrapText="1"/>
    </xf>
    <xf numFmtId="0" fontId="53" fillId="0" borderId="0" xfId="0" applyFont="1" applyFill="1" applyAlignment="1">
      <alignment horizontal="left" vertical="center" wrapText="1"/>
    </xf>
    <xf numFmtId="0" fontId="49" fillId="0" borderId="61" xfId="0" applyFont="1" applyFill="1" applyBorder="1" applyAlignment="1">
      <alignment horizontal="left"/>
    </xf>
    <xf numFmtId="0" fontId="49" fillId="0" borderId="62" xfId="0" applyFont="1" applyFill="1" applyBorder="1" applyAlignment="1">
      <alignment horizontal="left"/>
    </xf>
    <xf numFmtId="0" fontId="50" fillId="0" borderId="59" xfId="0" applyFont="1" applyFill="1" applyBorder="1" applyAlignment="1">
      <alignment horizontal="left"/>
    </xf>
    <xf numFmtId="0" fontId="50" fillId="0" borderId="64" xfId="0" applyFont="1" applyFill="1" applyBorder="1" applyAlignment="1">
      <alignment horizontal="left"/>
    </xf>
    <xf numFmtId="0" fontId="50" fillId="0" borderId="60" xfId="0" applyFont="1" applyFill="1" applyBorder="1" applyAlignment="1">
      <alignment horizontal="left"/>
    </xf>
    <xf numFmtId="0" fontId="48" fillId="16" borderId="75" xfId="0" applyFont="1" applyFill="1" applyBorder="1" applyAlignment="1">
      <alignment horizontal="left" wrapText="1"/>
    </xf>
    <xf numFmtId="0" fontId="48" fillId="16" borderId="66" xfId="0" applyFont="1" applyFill="1" applyBorder="1" applyAlignment="1">
      <alignment horizontal="left" wrapText="1"/>
    </xf>
    <xf numFmtId="0" fontId="48" fillId="16" borderId="58" xfId="0" applyFont="1" applyFill="1" applyBorder="1" applyAlignment="1">
      <alignment horizontal="left" wrapText="1"/>
    </xf>
    <xf numFmtId="0" fontId="0" fillId="18" borderId="1" xfId="0" applyFill="1" applyBorder="1" applyAlignment="1">
      <alignment horizontal="center" vertical="center"/>
    </xf>
    <xf numFmtId="0" fontId="0" fillId="18" borderId="1" xfId="0" applyFill="1" applyBorder="1" applyAlignment="1">
      <alignment horizontal="center"/>
    </xf>
    <xf numFmtId="0" fontId="0" fillId="18" borderId="9" xfId="0" applyFill="1" applyBorder="1" applyAlignment="1">
      <alignment horizontal="center"/>
    </xf>
    <xf numFmtId="0" fontId="0" fillId="18" borderId="8" xfId="0" applyFill="1" applyBorder="1" applyAlignment="1">
      <alignment horizontal="center"/>
    </xf>
    <xf numFmtId="0" fontId="0" fillId="18" borderId="10" xfId="0" applyFill="1" applyBorder="1" applyAlignment="1">
      <alignment horizontal="center"/>
    </xf>
    <xf numFmtId="0" fontId="0" fillId="18" borderId="1" xfId="0" applyFill="1" applyBorder="1" applyAlignment="1">
      <alignment horizontal="center" vertical="top"/>
    </xf>
    <xf numFmtId="0" fontId="0" fillId="18" borderId="1" xfId="0" applyFill="1" applyBorder="1" applyAlignment="1">
      <alignment horizontal="center" vertical="top" wrapText="1"/>
    </xf>
    <xf numFmtId="0" fontId="0" fillId="18" borderId="48" xfId="0" applyFill="1" applyBorder="1" applyAlignment="1">
      <alignment horizontal="center" vertical="top" wrapText="1"/>
    </xf>
    <xf numFmtId="0" fontId="0" fillId="18" borderId="49" xfId="0" applyFill="1" applyBorder="1" applyAlignment="1">
      <alignment horizontal="center" vertical="top" wrapText="1"/>
    </xf>
    <xf numFmtId="0" fontId="0" fillId="18" borderId="50" xfId="0" applyFill="1" applyBorder="1" applyAlignment="1">
      <alignment horizontal="center" vertical="top" wrapText="1"/>
    </xf>
    <xf numFmtId="0" fontId="0" fillId="10" borderId="1" xfId="0" applyFill="1" applyBorder="1" applyAlignment="1">
      <alignment horizontal="center"/>
    </xf>
    <xf numFmtId="0" fontId="14" fillId="10" borderId="2" xfId="0" applyFont="1" applyFill="1" applyBorder="1" applyAlignment="1">
      <alignment horizontal="center"/>
    </xf>
    <xf numFmtId="0" fontId="0" fillId="10" borderId="88" xfId="0" applyFill="1" applyBorder="1" applyAlignment="1">
      <alignment horizontal="center"/>
    </xf>
    <xf numFmtId="0" fontId="0" fillId="10" borderId="92" xfId="0" applyFill="1" applyBorder="1" applyAlignment="1">
      <alignment horizontal="center"/>
    </xf>
  </cellXfs>
  <cellStyles count="186">
    <cellStyle name="Comma" xfId="1" builtinId="3"/>
    <cellStyle name="Comma 2" xfId="9" xr:uid="{00000000-0005-0000-0000-000000000000}"/>
    <cellStyle name="Comma 2 10" xfId="70" xr:uid="{00000000-0005-0000-0000-000001000000}"/>
    <cellStyle name="Comma 2 2" xfId="35" xr:uid="{00000000-0005-0000-0000-000002000000}"/>
    <cellStyle name="Comma 2 2 2" xfId="61" xr:uid="{00000000-0005-0000-0000-000003000000}"/>
    <cellStyle name="Comma 2 2 2 2" xfId="148" xr:uid="{00000000-0005-0000-0000-000004000000}"/>
    <cellStyle name="Comma 2 2 3" xfId="128" xr:uid="{00000000-0005-0000-0000-000005000000}"/>
    <cellStyle name="Comma 2 2 4" xfId="163" xr:uid="{00000000-0005-0000-0000-000006000000}"/>
    <cellStyle name="Comma 2 2 5" xfId="106" xr:uid="{00000000-0005-0000-0000-000007000000}"/>
    <cellStyle name="Comma 2 2 6" xfId="179" xr:uid="{00000000-0005-0000-0000-000008000000}"/>
    <cellStyle name="Comma 2 2 7" xfId="87" xr:uid="{00000000-0005-0000-0000-000009000000}"/>
    <cellStyle name="Comma 2 2 8" xfId="75" xr:uid="{00000000-0005-0000-0000-00000A000000}"/>
    <cellStyle name="Comma 2 3" xfId="27" xr:uid="{00000000-0005-0000-0000-00000B000000}"/>
    <cellStyle name="Comma 2 3 2" xfId="56" xr:uid="{00000000-0005-0000-0000-00000C000000}"/>
    <cellStyle name="Comma 2 3 2 2" xfId="143" xr:uid="{00000000-0005-0000-0000-00000D000000}"/>
    <cellStyle name="Comma 2 3 3" xfId="123" xr:uid="{00000000-0005-0000-0000-00000E000000}"/>
    <cellStyle name="Comma 2 3 4" xfId="100" xr:uid="{00000000-0005-0000-0000-00000F000000}"/>
    <cellStyle name="Comma 2 4" xfId="47" xr:uid="{00000000-0005-0000-0000-000010000000}"/>
    <cellStyle name="Comma 2 4 2" xfId="137" xr:uid="{00000000-0005-0000-0000-000011000000}"/>
    <cellStyle name="Comma 2 5" xfId="116" xr:uid="{00000000-0005-0000-0000-000012000000}"/>
    <cellStyle name="Comma 2 6" xfId="158" xr:uid="{00000000-0005-0000-0000-000013000000}"/>
    <cellStyle name="Comma 2 7" xfId="93" xr:uid="{00000000-0005-0000-0000-000014000000}"/>
    <cellStyle name="Comma 2 8" xfId="174" xr:uid="{00000000-0005-0000-0000-000015000000}"/>
    <cellStyle name="Comma 2 9" xfId="81" xr:uid="{00000000-0005-0000-0000-000016000000}"/>
    <cellStyle name="Comma 3" xfId="32" xr:uid="{00000000-0005-0000-0000-000017000000}"/>
    <cellStyle name="Comma 4" xfId="45" xr:uid="{00000000-0005-0000-0000-000018000000}"/>
    <cellStyle name="Comma 5" xfId="2" xr:uid="{00000000-0005-0000-0000-000019000000}"/>
    <cellStyle name="Comma 6" xfId="10" xr:uid="{00000000-0005-0000-0000-00001A000000}"/>
    <cellStyle name="Comma 7" xfId="24" xr:uid="{00000000-0005-0000-0000-00001B000000}"/>
    <cellStyle name="Hyperlink" xfId="3" builtinId="8"/>
    <cellStyle name="Normal" xfId="0" builtinId="0"/>
    <cellStyle name="Normal 10" xfId="184" xr:uid="{00000000-0005-0000-0000-000020000000}"/>
    <cellStyle name="Normal 2" xfId="4" xr:uid="{00000000-0005-0000-0000-000021000000}"/>
    <cellStyle name="Normal 2 2" xfId="23" xr:uid="{00000000-0005-0000-0000-000022000000}"/>
    <cellStyle name="Normal 2 2 2" xfId="44" xr:uid="{00000000-0005-0000-0000-000023000000}"/>
    <cellStyle name="Normal 2 2 2 2" xfId="68" xr:uid="{00000000-0005-0000-0000-000024000000}"/>
    <cellStyle name="Normal 2 2 2 3" xfId="155" xr:uid="{00000000-0005-0000-0000-000025000000}"/>
    <cellStyle name="Normal 2 2 3" xfId="54" xr:uid="{00000000-0005-0000-0000-000026000000}"/>
    <cellStyle name="Normal 2 2 3 2" xfId="135" xr:uid="{00000000-0005-0000-0000-000027000000}"/>
    <cellStyle name="Normal 2 2 4" xfId="171" xr:uid="{00000000-0005-0000-0000-000028000000}"/>
    <cellStyle name="Normal 2 2 5" xfId="114" xr:uid="{00000000-0005-0000-0000-000029000000}"/>
    <cellStyle name="Normal 3" xfId="8" xr:uid="{00000000-0005-0000-0000-00002A000000}"/>
    <cellStyle name="Normal 3 10" xfId="173" xr:uid="{00000000-0005-0000-0000-00002B000000}"/>
    <cellStyle name="Normal 3 11" xfId="80" xr:uid="{00000000-0005-0000-0000-00002C000000}"/>
    <cellStyle name="Normal 3 12" xfId="69" xr:uid="{00000000-0005-0000-0000-00002D000000}"/>
    <cellStyle name="Normal 3 2" xfId="15" xr:uid="{00000000-0005-0000-0000-00002E000000}"/>
    <cellStyle name="Normal 3 2 10" xfId="84" xr:uid="{00000000-0005-0000-0000-00002F000000}"/>
    <cellStyle name="Normal 3 2 11" xfId="72" xr:uid="{00000000-0005-0000-0000-000030000000}"/>
    <cellStyle name="Normal 3 2 2" xfId="22" xr:uid="{00000000-0005-0000-0000-000031000000}"/>
    <cellStyle name="Normal 3 2 2 2" xfId="37" xr:uid="{00000000-0005-0000-0000-000032000000}"/>
    <cellStyle name="Normal 3 2 2 2 2" xfId="63" xr:uid="{00000000-0005-0000-0000-000033000000}"/>
    <cellStyle name="Normal 3 2 2 2 3" xfId="150" xr:uid="{00000000-0005-0000-0000-000034000000}"/>
    <cellStyle name="Normal 3 2 2 3" xfId="130" xr:uid="{00000000-0005-0000-0000-000035000000}"/>
    <cellStyle name="Normal 3 2 2 4" xfId="165" xr:uid="{00000000-0005-0000-0000-000036000000}"/>
    <cellStyle name="Normal 3 2 2 5" xfId="108" xr:uid="{00000000-0005-0000-0000-000037000000}"/>
    <cellStyle name="Normal 3 2 2 6" xfId="181" xr:uid="{00000000-0005-0000-0000-000038000000}"/>
    <cellStyle name="Normal 3 2 2 7" xfId="89" xr:uid="{00000000-0005-0000-0000-000039000000}"/>
    <cellStyle name="Normal 3 2 2 8" xfId="77" xr:uid="{00000000-0005-0000-0000-00003A000000}"/>
    <cellStyle name="Normal 3 2 3" xfId="43" xr:uid="{00000000-0005-0000-0000-00003B000000}"/>
    <cellStyle name="Normal 3 2 3 2" xfId="145" xr:uid="{00000000-0005-0000-0000-00003C000000}"/>
    <cellStyle name="Normal 3 2 3 3" xfId="125" xr:uid="{00000000-0005-0000-0000-00003D000000}"/>
    <cellStyle name="Normal 3 2 3 4" xfId="170" xr:uid="{00000000-0005-0000-0000-00003E000000}"/>
    <cellStyle name="Normal 3 2 3 5" xfId="103" xr:uid="{00000000-0005-0000-0000-00003F000000}"/>
    <cellStyle name="Normal 3 2 4" xfId="30" xr:uid="{00000000-0005-0000-0000-000040000000}"/>
    <cellStyle name="Normal 3 2 4 2" xfId="58" xr:uid="{00000000-0005-0000-0000-000041000000}"/>
    <cellStyle name="Normal 3 2 4 3" xfId="113" xr:uid="{00000000-0005-0000-0000-000042000000}"/>
    <cellStyle name="Normal 3 2 5" xfId="49" xr:uid="{00000000-0005-0000-0000-000043000000}"/>
    <cellStyle name="Normal 3 2 5 2" xfId="140" xr:uid="{00000000-0005-0000-0000-000044000000}"/>
    <cellStyle name="Normal 3 2 6" xfId="120" xr:uid="{00000000-0005-0000-0000-000045000000}"/>
    <cellStyle name="Normal 3 2 7" xfId="160" xr:uid="{00000000-0005-0000-0000-000046000000}"/>
    <cellStyle name="Normal 3 2 8" xfId="97" xr:uid="{00000000-0005-0000-0000-000047000000}"/>
    <cellStyle name="Normal 3 2 9" xfId="176" xr:uid="{00000000-0005-0000-0000-000048000000}"/>
    <cellStyle name="Normal 3 3" xfId="19" xr:uid="{00000000-0005-0000-0000-000049000000}"/>
    <cellStyle name="Normal 3 3 2" xfId="34" xr:uid="{00000000-0005-0000-0000-00004A000000}"/>
    <cellStyle name="Normal 3 3 2 2" xfId="60" xr:uid="{00000000-0005-0000-0000-00004B000000}"/>
    <cellStyle name="Normal 3 3 2 3" xfId="147" xr:uid="{00000000-0005-0000-0000-00004C000000}"/>
    <cellStyle name="Normal 3 3 3" xfId="51" xr:uid="{00000000-0005-0000-0000-00004D000000}"/>
    <cellStyle name="Normal 3 3 3 2" xfId="127" xr:uid="{00000000-0005-0000-0000-00004E000000}"/>
    <cellStyle name="Normal 3 3 4" xfId="162" xr:uid="{00000000-0005-0000-0000-00004F000000}"/>
    <cellStyle name="Normal 3 3 5" xfId="105" xr:uid="{00000000-0005-0000-0000-000050000000}"/>
    <cellStyle name="Normal 3 3 6" xfId="178" xr:uid="{00000000-0005-0000-0000-000051000000}"/>
    <cellStyle name="Normal 3 3 7" xfId="86" xr:uid="{00000000-0005-0000-0000-000052000000}"/>
    <cellStyle name="Normal 3 3 8" xfId="74" xr:uid="{00000000-0005-0000-0000-000053000000}"/>
    <cellStyle name="Normal 3 4" xfId="40" xr:uid="{00000000-0005-0000-0000-000054000000}"/>
    <cellStyle name="Normal 3 4 2" xfId="65" xr:uid="{00000000-0005-0000-0000-000055000000}"/>
    <cellStyle name="Normal 3 4 2 2" xfId="142" xr:uid="{00000000-0005-0000-0000-000056000000}"/>
    <cellStyle name="Normal 3 4 2 3" xfId="183" xr:uid="{00000000-0005-0000-0000-000057000000}"/>
    <cellStyle name="Normal 3 4 2 4" xfId="91" xr:uid="{00000000-0005-0000-0000-000058000000}"/>
    <cellStyle name="Normal 3 4 2 5" xfId="79" xr:uid="{00000000-0005-0000-0000-000059000000}"/>
    <cellStyle name="Normal 3 4 3" xfId="122" xr:uid="{00000000-0005-0000-0000-00005A000000}"/>
    <cellStyle name="Normal 3 4 4" xfId="167" xr:uid="{00000000-0005-0000-0000-00005B000000}"/>
    <cellStyle name="Normal 3 4 5" xfId="99" xr:uid="{00000000-0005-0000-0000-00005C000000}"/>
    <cellStyle name="Normal 3 5" xfId="26" xr:uid="{00000000-0005-0000-0000-00005D000000}"/>
    <cellStyle name="Normal 3 5 2" xfId="55" xr:uid="{00000000-0005-0000-0000-00005E000000}"/>
    <cellStyle name="Normal 3 5 2 2" xfId="152" xr:uid="{00000000-0005-0000-0000-00005F000000}"/>
    <cellStyle name="Normal 3 5 3" xfId="132" xr:uid="{00000000-0005-0000-0000-000060000000}"/>
    <cellStyle name="Normal 3 5 4" xfId="110" xr:uid="{00000000-0005-0000-0000-000061000000}"/>
    <cellStyle name="Normal 3 6" xfId="46" xr:uid="{00000000-0005-0000-0000-000062000000}"/>
    <cellStyle name="Normal 3 6 2" xfId="136" xr:uid="{00000000-0005-0000-0000-000063000000}"/>
    <cellStyle name="Normal 3 7" xfId="115" xr:uid="{00000000-0005-0000-0000-000064000000}"/>
    <cellStyle name="Normal 3 8" xfId="157" xr:uid="{00000000-0005-0000-0000-000065000000}"/>
    <cellStyle name="Normal 3 9" xfId="92" xr:uid="{00000000-0005-0000-0000-000066000000}"/>
    <cellStyle name="Normal 4" xfId="11" xr:uid="{00000000-0005-0000-0000-000067000000}"/>
    <cellStyle name="Normal 4 2" xfId="16" xr:uid="{00000000-0005-0000-0000-000068000000}"/>
    <cellStyle name="Normal 4 2 10" xfId="73" xr:uid="{00000000-0005-0000-0000-000069000000}"/>
    <cellStyle name="Normal 4 2 2" xfId="38" xr:uid="{00000000-0005-0000-0000-00006A000000}"/>
    <cellStyle name="Normal 4 2 2 2" xfId="64" xr:uid="{00000000-0005-0000-0000-00006B000000}"/>
    <cellStyle name="Normal 4 2 2 2 2" xfId="151" xr:uid="{00000000-0005-0000-0000-00006C000000}"/>
    <cellStyle name="Normal 4 2 2 3" xfId="131" xr:uid="{00000000-0005-0000-0000-00006D000000}"/>
    <cellStyle name="Normal 4 2 2 4" xfId="166" xr:uid="{00000000-0005-0000-0000-00006E000000}"/>
    <cellStyle name="Normal 4 2 2 5" xfId="109" xr:uid="{00000000-0005-0000-0000-00006F000000}"/>
    <cellStyle name="Normal 4 2 2 6" xfId="182" xr:uid="{00000000-0005-0000-0000-000070000000}"/>
    <cellStyle name="Normal 4 2 2 7" xfId="90" xr:uid="{00000000-0005-0000-0000-000071000000}"/>
    <cellStyle name="Normal 4 2 2 8" xfId="78" xr:uid="{00000000-0005-0000-0000-000072000000}"/>
    <cellStyle name="Normal 4 2 3" xfId="31" xr:uid="{00000000-0005-0000-0000-000073000000}"/>
    <cellStyle name="Normal 4 2 3 2" xfId="59" xr:uid="{00000000-0005-0000-0000-000074000000}"/>
    <cellStyle name="Normal 4 2 3 2 2" xfId="146" xr:uid="{00000000-0005-0000-0000-000075000000}"/>
    <cellStyle name="Normal 4 2 3 3" xfId="126" xr:uid="{00000000-0005-0000-0000-000076000000}"/>
    <cellStyle name="Normal 4 2 3 4" xfId="104" xr:uid="{00000000-0005-0000-0000-000077000000}"/>
    <cellStyle name="Normal 4 2 4" xfId="50" xr:uid="{00000000-0005-0000-0000-000078000000}"/>
    <cellStyle name="Normal 4 2 4 2" xfId="141" xr:uid="{00000000-0005-0000-0000-000079000000}"/>
    <cellStyle name="Normal 4 2 5" xfId="121" xr:uid="{00000000-0005-0000-0000-00007A000000}"/>
    <cellStyle name="Normal 4 2 6" xfId="161" xr:uid="{00000000-0005-0000-0000-00007B000000}"/>
    <cellStyle name="Normal 4 2 7" xfId="98" xr:uid="{00000000-0005-0000-0000-00007C000000}"/>
    <cellStyle name="Normal 4 2 8" xfId="177" xr:uid="{00000000-0005-0000-0000-00007D000000}"/>
    <cellStyle name="Normal 4 2 9" xfId="85" xr:uid="{00000000-0005-0000-0000-00007E000000}"/>
    <cellStyle name="Normal 4 3" xfId="20" xr:uid="{00000000-0005-0000-0000-00007F000000}"/>
    <cellStyle name="Normal 4 3 2" xfId="41" xr:uid="{00000000-0005-0000-0000-000080000000}"/>
    <cellStyle name="Normal 4 3 2 2" xfId="66" xr:uid="{00000000-0005-0000-0000-000081000000}"/>
    <cellStyle name="Normal 4 3 2 3" xfId="153" xr:uid="{00000000-0005-0000-0000-000082000000}"/>
    <cellStyle name="Normal 4 3 3" xfId="52" xr:uid="{00000000-0005-0000-0000-000083000000}"/>
    <cellStyle name="Normal 4 3 3 2" xfId="133" xr:uid="{00000000-0005-0000-0000-000084000000}"/>
    <cellStyle name="Normal 4 3 4" xfId="168" xr:uid="{00000000-0005-0000-0000-000085000000}"/>
    <cellStyle name="Normal 4 3 5" xfId="111" xr:uid="{00000000-0005-0000-0000-000086000000}"/>
    <cellStyle name="Normal 5" xfId="12" xr:uid="{00000000-0005-0000-0000-000087000000}"/>
    <cellStyle name="Normal 5 10" xfId="82" xr:uid="{00000000-0005-0000-0000-000088000000}"/>
    <cellStyle name="Normal 5 11" xfId="71" xr:uid="{00000000-0005-0000-0000-000089000000}"/>
    <cellStyle name="Normal 5 2" xfId="21" xr:uid="{00000000-0005-0000-0000-00008A000000}"/>
    <cellStyle name="Normal 5 2 2" xfId="36" xr:uid="{00000000-0005-0000-0000-00008B000000}"/>
    <cellStyle name="Normal 5 2 2 2" xfId="62" xr:uid="{00000000-0005-0000-0000-00008C000000}"/>
    <cellStyle name="Normal 5 2 2 3" xfId="149" xr:uid="{00000000-0005-0000-0000-00008D000000}"/>
    <cellStyle name="Normal 5 2 3" xfId="53" xr:uid="{00000000-0005-0000-0000-00008E000000}"/>
    <cellStyle name="Normal 5 2 3 2" xfId="129" xr:uid="{00000000-0005-0000-0000-00008F000000}"/>
    <cellStyle name="Normal 5 2 4" xfId="164" xr:uid="{00000000-0005-0000-0000-000090000000}"/>
    <cellStyle name="Normal 5 2 5" xfId="107" xr:uid="{00000000-0005-0000-0000-000091000000}"/>
    <cellStyle name="Normal 5 2 6" xfId="180" xr:uid="{00000000-0005-0000-0000-000092000000}"/>
    <cellStyle name="Normal 5 2 7" xfId="88" xr:uid="{00000000-0005-0000-0000-000093000000}"/>
    <cellStyle name="Normal 5 2 8" xfId="76" xr:uid="{00000000-0005-0000-0000-000094000000}"/>
    <cellStyle name="Normal 5 3" xfId="42" xr:uid="{00000000-0005-0000-0000-000095000000}"/>
    <cellStyle name="Normal 5 3 2" xfId="67" xr:uid="{00000000-0005-0000-0000-000096000000}"/>
    <cellStyle name="Normal 5 3 2 2" xfId="144" xr:uid="{00000000-0005-0000-0000-000097000000}"/>
    <cellStyle name="Normal 5 3 3" xfId="124" xr:uid="{00000000-0005-0000-0000-000098000000}"/>
    <cellStyle name="Normal 5 3 4" xfId="169" xr:uid="{00000000-0005-0000-0000-000099000000}"/>
    <cellStyle name="Normal 5 3 5" xfId="101" xr:uid="{00000000-0005-0000-0000-00009A000000}"/>
    <cellStyle name="Normal 5 4" xfId="28" xr:uid="{00000000-0005-0000-0000-00009B000000}"/>
    <cellStyle name="Normal 5 4 2" xfId="57" xr:uid="{00000000-0005-0000-0000-00009C000000}"/>
    <cellStyle name="Normal 5 4 2 2" xfId="154" xr:uid="{00000000-0005-0000-0000-00009D000000}"/>
    <cellStyle name="Normal 5 4 3" xfId="134" xr:uid="{00000000-0005-0000-0000-00009E000000}"/>
    <cellStyle name="Normal 5 4 4" xfId="112" xr:uid="{00000000-0005-0000-0000-00009F000000}"/>
    <cellStyle name="Normal 5 5" xfId="48" xr:uid="{00000000-0005-0000-0000-0000A0000000}"/>
    <cellStyle name="Normal 5 5 2" xfId="138" xr:uid="{00000000-0005-0000-0000-0000A1000000}"/>
    <cellStyle name="Normal 5 6" xfId="117" xr:uid="{00000000-0005-0000-0000-0000A2000000}"/>
    <cellStyle name="Normal 5 7" xfId="159" xr:uid="{00000000-0005-0000-0000-0000A3000000}"/>
    <cellStyle name="Normal 5 8" xfId="94" xr:uid="{00000000-0005-0000-0000-0000A4000000}"/>
    <cellStyle name="Normal 5 9" xfId="175" xr:uid="{00000000-0005-0000-0000-0000A5000000}"/>
    <cellStyle name="Normal 6" xfId="13" xr:uid="{00000000-0005-0000-0000-0000A6000000}"/>
    <cellStyle name="Normal 6 2" xfId="102" xr:uid="{00000000-0005-0000-0000-0000A7000000}"/>
    <cellStyle name="Normal 6 3" xfId="139" xr:uid="{00000000-0005-0000-0000-0000A8000000}"/>
    <cellStyle name="Normal 6 4" xfId="118" xr:uid="{00000000-0005-0000-0000-0000A9000000}"/>
    <cellStyle name="Normal 6 5" xfId="95" xr:uid="{00000000-0005-0000-0000-0000AA000000}"/>
    <cellStyle name="Normal 7" xfId="17" xr:uid="{00000000-0005-0000-0000-0000AB000000}"/>
    <cellStyle name="Normal 7 2" xfId="39" xr:uid="{00000000-0005-0000-0000-0000AC000000}"/>
    <cellStyle name="Normal 8" xfId="156" xr:uid="{00000000-0005-0000-0000-0000AD000000}"/>
    <cellStyle name="Normal 9" xfId="172" xr:uid="{00000000-0005-0000-0000-0000AE000000}"/>
    <cellStyle name="Note" xfId="7" builtinId="10"/>
    <cellStyle name="Note 2" xfId="33" xr:uid="{00000000-0005-0000-0000-0000AF000000}"/>
    <cellStyle name="Note 3" xfId="25" xr:uid="{00000000-0005-0000-0000-0000B0000000}"/>
    <cellStyle name="Percent" xfId="5" builtinId="5"/>
    <cellStyle name="Percent 2" xfId="6" xr:uid="{00000000-0005-0000-0000-0000B1000000}"/>
    <cellStyle name="Percent 3" xfId="14" xr:uid="{00000000-0005-0000-0000-0000B2000000}"/>
    <cellStyle name="Percent 3 2" xfId="29" xr:uid="{00000000-0005-0000-0000-0000B3000000}"/>
    <cellStyle name="Percent 3 3" xfId="119" xr:uid="{00000000-0005-0000-0000-0000B4000000}"/>
    <cellStyle name="Percent 3 4" xfId="96" xr:uid="{00000000-0005-0000-0000-0000B5000000}"/>
    <cellStyle name="Percent 3 5" xfId="83" xr:uid="{00000000-0005-0000-0000-0000B6000000}"/>
    <cellStyle name="Percent 4" xfId="18" xr:uid="{00000000-0005-0000-0000-0000B7000000}"/>
    <cellStyle name="Percent 5" xfId="185" xr:uid="{00000000-0005-0000-0000-0000B8000000}"/>
  </cellStyles>
  <dxfs count="246">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rgb="FF9C0006"/>
      </font>
      <fill>
        <patternFill>
          <bgColor rgb="FFFFC7CE"/>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uio.no\los-ads-u1\mikkelbd\pc\Dokumenter\kant.uio.no\los-ads-u1\EFP\IHR-leveranser%20-%20EFP\S&#248;knadsbudsjett\s&#248;knadsbudsjettering_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strering"/>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ecb.europa.eu/stats/policy_and_exchange_rates/euro_reference_exchange_rates/html/eurofxref-graph-nok.en.html"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14.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B050"/>
    <pageSetUpPr fitToPage="1"/>
  </sheetPr>
  <dimension ref="B1:K33"/>
  <sheetViews>
    <sheetView showGridLines="0" zoomScale="85" zoomScaleNormal="85" workbookViewId="0">
      <selection activeCell="I24" sqref="I24"/>
    </sheetView>
  </sheetViews>
  <sheetFormatPr defaultColWidth="9.140625" defaultRowHeight="15" x14ac:dyDescent="0.25"/>
  <cols>
    <col min="1" max="1" width="0.42578125" style="42" customWidth="1"/>
    <col min="2" max="2" width="51.5703125" style="42" customWidth="1"/>
    <col min="3" max="3" width="58" style="42" customWidth="1"/>
    <col min="4" max="4" width="11.140625" style="42" customWidth="1"/>
    <col min="5" max="5" width="10.5703125" style="42" bestFit="1" customWidth="1"/>
    <col min="6" max="6" width="11.42578125" style="42" customWidth="1"/>
    <col min="7" max="7" width="11.140625" style="42" customWidth="1"/>
    <col min="8" max="8" width="10.5703125" style="42" bestFit="1" customWidth="1"/>
    <col min="9" max="9" width="10.140625" style="42" bestFit="1" customWidth="1"/>
    <col min="10" max="16384" width="9.140625" style="42"/>
  </cols>
  <sheetData>
    <row r="1" spans="2:10" ht="21" x14ac:dyDescent="0.35">
      <c r="B1" s="67" t="s">
        <v>0</v>
      </c>
      <c r="C1" s="334"/>
      <c r="D1" s="335"/>
      <c r="E1" s="335"/>
      <c r="F1" s="335"/>
      <c r="G1" s="335"/>
      <c r="H1" s="335"/>
      <c r="I1" s="335"/>
      <c r="J1" s="335"/>
    </row>
    <row r="3" spans="2:10" ht="18.75" x14ac:dyDescent="0.3">
      <c r="B3" s="76" t="s">
        <v>1</v>
      </c>
      <c r="C3" s="68"/>
      <c r="D3" s="20"/>
      <c r="E3" s="335"/>
      <c r="F3" s="20"/>
      <c r="G3" s="20"/>
      <c r="H3" s="335"/>
      <c r="I3" s="335"/>
      <c r="J3" s="335"/>
    </row>
    <row r="4" spans="2:10" x14ac:dyDescent="0.25">
      <c r="B4" s="336" t="s">
        <v>2</v>
      </c>
      <c r="C4" s="337"/>
      <c r="D4" s="20"/>
      <c r="E4" s="20"/>
      <c r="F4" s="20"/>
      <c r="G4" s="20"/>
      <c r="H4" s="335"/>
      <c r="I4" s="335"/>
      <c r="J4" s="335"/>
    </row>
    <row r="5" spans="2:10" x14ac:dyDescent="0.25">
      <c r="B5" s="336" t="s">
        <v>3</v>
      </c>
      <c r="C5" s="338"/>
      <c r="D5" s="335"/>
      <c r="E5" s="335"/>
      <c r="F5" s="335"/>
      <c r="G5" s="335"/>
      <c r="H5" s="335"/>
      <c r="I5" s="335"/>
      <c r="J5" s="335"/>
    </row>
    <row r="6" spans="2:10" x14ac:dyDescent="0.25">
      <c r="B6" s="336" t="s">
        <v>4</v>
      </c>
      <c r="C6" s="339"/>
      <c r="D6" s="20"/>
      <c r="E6" s="20"/>
      <c r="F6" s="20"/>
      <c r="G6" s="20"/>
      <c r="H6" s="335"/>
      <c r="I6" s="335"/>
      <c r="J6" s="335"/>
    </row>
    <row r="7" spans="2:10" x14ac:dyDescent="0.25">
      <c r="B7" s="336" t="s">
        <v>5</v>
      </c>
      <c r="C7" s="338"/>
      <c r="D7" s="335"/>
      <c r="E7" s="335"/>
      <c r="F7" s="335"/>
      <c r="G7" s="335"/>
      <c r="H7" s="335"/>
      <c r="I7" s="335"/>
      <c r="J7" s="335"/>
    </row>
    <row r="8" spans="2:10" x14ac:dyDescent="0.25">
      <c r="B8" s="336" t="s">
        <v>6</v>
      </c>
      <c r="C8" s="340"/>
      <c r="D8" s="20"/>
      <c r="E8" s="20"/>
      <c r="F8" s="20"/>
      <c r="G8" s="20"/>
      <c r="H8" s="335"/>
      <c r="I8" s="335"/>
      <c r="J8" s="335"/>
    </row>
    <row r="9" spans="2:10" x14ac:dyDescent="0.25">
      <c r="B9" s="336" t="s">
        <v>7</v>
      </c>
      <c r="C9" s="341"/>
      <c r="D9" s="20"/>
      <c r="E9" s="20"/>
      <c r="F9" s="20"/>
      <c r="G9" s="20"/>
      <c r="H9" s="335"/>
      <c r="I9" s="335"/>
      <c r="J9" s="335"/>
    </row>
    <row r="10" spans="2:10" ht="15" customHeight="1" x14ac:dyDescent="0.25">
      <c r="B10" s="420" t="s">
        <v>8</v>
      </c>
      <c r="C10" s="417"/>
      <c r="D10" s="335"/>
      <c r="E10" s="335"/>
      <c r="F10" s="335"/>
      <c r="G10" s="335"/>
      <c r="H10" s="335"/>
      <c r="I10" s="335"/>
      <c r="J10" s="335"/>
    </row>
    <row r="11" spans="2:10" x14ac:dyDescent="0.25">
      <c r="B11" s="421"/>
      <c r="C11" s="418"/>
      <c r="D11" s="335"/>
      <c r="E11" s="335"/>
      <c r="F11" s="335"/>
      <c r="G11" s="335"/>
      <c r="H11" s="335"/>
      <c r="I11" s="335"/>
      <c r="J11" s="335"/>
    </row>
    <row r="12" spans="2:10" x14ac:dyDescent="0.25">
      <c r="B12" s="421"/>
      <c r="C12" s="418"/>
      <c r="D12" s="335"/>
      <c r="E12" s="335"/>
      <c r="F12" s="335"/>
      <c r="G12" s="335"/>
      <c r="H12" s="335"/>
      <c r="I12" s="335"/>
      <c r="J12" s="335"/>
    </row>
    <row r="13" spans="2:10" x14ac:dyDescent="0.25">
      <c r="B13" s="421"/>
      <c r="C13" s="418"/>
      <c r="D13" s="335"/>
      <c r="E13" s="335"/>
      <c r="F13" s="335"/>
      <c r="G13" s="335"/>
      <c r="H13" s="335"/>
      <c r="I13" s="335"/>
      <c r="J13" s="335"/>
    </row>
    <row r="14" spans="2:10" x14ac:dyDescent="0.25">
      <c r="B14" s="422"/>
      <c r="C14" s="419"/>
      <c r="D14" s="335"/>
      <c r="E14" s="335"/>
      <c r="F14" s="335"/>
      <c r="G14" s="335"/>
      <c r="H14" s="335"/>
      <c r="I14" s="335"/>
      <c r="J14" s="335"/>
    </row>
    <row r="15" spans="2:10" ht="18.75" x14ac:dyDescent="0.3">
      <c r="B15" s="76" t="s">
        <v>9</v>
      </c>
      <c r="C15" s="68"/>
      <c r="D15" s="335"/>
      <c r="E15" s="335"/>
      <c r="F15" s="335"/>
      <c r="G15" s="335"/>
      <c r="H15" s="335"/>
      <c r="I15" s="335"/>
      <c r="J15" s="335"/>
    </row>
    <row r="16" spans="2:10" x14ac:dyDescent="0.25">
      <c r="B16" s="336" t="s">
        <v>10</v>
      </c>
      <c r="C16" s="342"/>
      <c r="D16" s="335"/>
      <c r="E16" s="335"/>
      <c r="F16" s="335"/>
      <c r="G16" s="335"/>
      <c r="H16" s="335"/>
      <c r="I16" s="335"/>
      <c r="J16" s="335"/>
    </row>
    <row r="17" spans="2:11" x14ac:dyDescent="0.25">
      <c r="B17" s="336" t="s">
        <v>11</v>
      </c>
      <c r="C17" s="343"/>
      <c r="D17" s="20"/>
      <c r="E17" s="20"/>
      <c r="F17" s="20"/>
      <c r="G17" s="335"/>
      <c r="H17" s="335"/>
      <c r="I17" s="335"/>
      <c r="J17" s="335"/>
      <c r="K17" s="335"/>
    </row>
    <row r="18" spans="2:11" x14ac:dyDescent="0.25">
      <c r="B18" s="336" t="s">
        <v>12</v>
      </c>
      <c r="C18" s="344"/>
      <c r="D18" s="335"/>
      <c r="E18" s="335"/>
      <c r="F18" s="335"/>
      <c r="G18" s="335"/>
      <c r="H18" s="335"/>
      <c r="I18" s="335"/>
      <c r="J18" s="335"/>
      <c r="K18" s="335"/>
    </row>
    <row r="19" spans="2:11" x14ac:dyDescent="0.25">
      <c r="B19" s="336" t="s">
        <v>13</v>
      </c>
      <c r="C19" s="344"/>
      <c r="D19" s="335"/>
      <c r="E19" s="335"/>
      <c r="F19" s="335"/>
      <c r="G19" s="335"/>
      <c r="H19" s="335"/>
      <c r="I19" s="335"/>
      <c r="J19" s="335"/>
      <c r="K19" s="335"/>
    </row>
    <row r="20" spans="2:11" x14ac:dyDescent="0.25">
      <c r="B20" s="336" t="s">
        <v>14</v>
      </c>
      <c r="C20" s="344"/>
      <c r="D20" s="335"/>
      <c r="E20" s="335"/>
      <c r="F20" s="331" t="s">
        <v>15</v>
      </c>
      <c r="G20" s="331"/>
      <c r="H20" s="331"/>
      <c r="I20" s="331"/>
      <c r="J20" s="345"/>
      <c r="K20" s="345"/>
    </row>
    <row r="21" spans="2:11" ht="18.75" x14ac:dyDescent="0.3">
      <c r="B21" s="76" t="s">
        <v>16</v>
      </c>
      <c r="C21" s="68"/>
      <c r="D21" s="335"/>
      <c r="E21" s="335"/>
      <c r="F21" s="345" t="s">
        <v>17</v>
      </c>
      <c r="G21" s="345"/>
      <c r="H21" s="345"/>
      <c r="I21" s="346">
        <v>11.29</v>
      </c>
      <c r="J21" s="331" t="s">
        <v>18</v>
      </c>
      <c r="K21" s="332" t="s">
        <v>19</v>
      </c>
    </row>
    <row r="22" spans="2:11" x14ac:dyDescent="0.25">
      <c r="B22" s="336" t="s">
        <v>20</v>
      </c>
      <c r="C22" s="347" t="s">
        <v>21</v>
      </c>
      <c r="D22" s="335"/>
      <c r="E22" s="335"/>
      <c r="F22" s="345" t="s">
        <v>22</v>
      </c>
      <c r="G22" s="345"/>
      <c r="H22" s="345"/>
      <c r="I22" s="348">
        <v>0.25</v>
      </c>
      <c r="J22" s="332"/>
      <c r="K22" s="345"/>
    </row>
    <row r="23" spans="2:11" x14ac:dyDescent="0.25">
      <c r="B23" s="349" t="s">
        <v>23</v>
      </c>
      <c r="C23" s="350">
        <f>IF(I24="",I23,I24)</f>
        <v>11.04</v>
      </c>
      <c r="D23" s="335"/>
      <c r="E23" s="335"/>
      <c r="F23" s="333" t="s">
        <v>24</v>
      </c>
      <c r="G23" s="333"/>
      <c r="H23" s="333"/>
      <c r="I23" s="275">
        <f>I21-I22</f>
        <v>11.04</v>
      </c>
      <c r="J23" s="345"/>
      <c r="K23" s="345"/>
    </row>
    <row r="24" spans="2:11" x14ac:dyDescent="0.25">
      <c r="B24" s="336" t="s">
        <v>25</v>
      </c>
      <c r="C24" s="238"/>
      <c r="D24" s="335"/>
      <c r="E24" s="200"/>
      <c r="F24" s="351" t="s">
        <v>26</v>
      </c>
      <c r="G24" s="352"/>
      <c r="H24" s="352"/>
      <c r="I24" s="353"/>
      <c r="J24" s="348"/>
      <c r="K24" s="335"/>
    </row>
    <row r="25" spans="2:11" x14ac:dyDescent="0.25">
      <c r="B25" s="336" t="s">
        <v>27</v>
      </c>
      <c r="C25" s="236" t="s">
        <v>28</v>
      </c>
      <c r="D25" s="335"/>
      <c r="E25" s="335"/>
      <c r="F25" s="335"/>
      <c r="G25" s="335"/>
      <c r="H25" s="354"/>
      <c r="I25" s="335"/>
      <c r="J25" s="335"/>
      <c r="K25" s="335"/>
    </row>
    <row r="26" spans="2:11" x14ac:dyDescent="0.25">
      <c r="B26" s="336" t="s">
        <v>29</v>
      </c>
      <c r="C26" s="236" t="s">
        <v>30</v>
      </c>
      <c r="D26" s="335"/>
      <c r="E26" s="335" t="s">
        <v>31</v>
      </c>
      <c r="F26" s="335" t="s">
        <v>32</v>
      </c>
      <c r="G26" s="335"/>
      <c r="H26" s="335"/>
      <c r="I26" s="335"/>
      <c r="J26" s="335"/>
      <c r="K26" s="335"/>
    </row>
    <row r="27" spans="2:11" x14ac:dyDescent="0.25">
      <c r="B27" s="355" t="s">
        <v>33</v>
      </c>
      <c r="C27" s="159" t="s">
        <v>34</v>
      </c>
      <c r="D27" s="345"/>
      <c r="E27" s="43">
        <f>IF(Registrering!C27="",0,VLOOKUP(Registrering!C27,Tabeller!$G$6:$J$11,2,FALSE))</f>
        <v>465000</v>
      </c>
      <c r="F27" s="43">
        <f>IF(Registrering!C27="",0,VLOOKUP(Registrering!C27,Tabeller!$G$6:$J$11,3,FALSE))</f>
        <v>142000</v>
      </c>
      <c r="G27" s="345"/>
      <c r="H27" s="345"/>
      <c r="I27" s="356"/>
      <c r="J27" s="335"/>
      <c r="K27" s="335"/>
    </row>
    <row r="28" spans="2:11" ht="18.75" x14ac:dyDescent="0.3">
      <c r="B28" s="76" t="s">
        <v>35</v>
      </c>
      <c r="C28" s="357"/>
      <c r="D28" s="345">
        <v>2024</v>
      </c>
      <c r="E28" s="345" t="s">
        <v>36</v>
      </c>
      <c r="F28" s="345"/>
      <c r="G28" s="345"/>
      <c r="H28" s="345"/>
      <c r="I28" s="335"/>
      <c r="J28" s="335"/>
      <c r="K28" s="335"/>
    </row>
    <row r="29" spans="2:11" x14ac:dyDescent="0.25">
      <c r="B29" s="336" t="s">
        <v>37</v>
      </c>
      <c r="C29" s="66" t="s">
        <v>38</v>
      </c>
      <c r="D29" s="112">
        <v>4.9000000000000002E-2</v>
      </c>
      <c r="E29" s="112">
        <v>3.5000000000000003E-2</v>
      </c>
      <c r="F29" s="345"/>
      <c r="G29" s="345" t="s">
        <v>39</v>
      </c>
      <c r="H29" s="345"/>
      <c r="I29" s="335"/>
      <c r="J29" s="335"/>
      <c r="K29" s="335"/>
    </row>
    <row r="31" spans="2:11" x14ac:dyDescent="0.25">
      <c r="B31" s="246"/>
      <c r="C31" s="335"/>
      <c r="D31" s="335"/>
      <c r="E31" s="335"/>
      <c r="F31" s="335"/>
      <c r="G31" s="335"/>
      <c r="H31" s="335"/>
      <c r="I31" s="335"/>
      <c r="J31" s="335"/>
      <c r="K31" s="335"/>
    </row>
    <row r="32" spans="2:11" x14ac:dyDescent="0.25">
      <c r="B32" s="358"/>
      <c r="C32" s="335"/>
      <c r="D32" s="335"/>
      <c r="E32" s="335"/>
      <c r="F32" s="335"/>
      <c r="G32" s="335"/>
      <c r="H32" s="335"/>
      <c r="I32" s="335"/>
      <c r="J32" s="335"/>
      <c r="K32" s="335"/>
    </row>
    <row r="33" spans="2:3" x14ac:dyDescent="0.25">
      <c r="B33" s="358"/>
      <c r="C33" s="335"/>
    </row>
  </sheetData>
  <sheetProtection algorithmName="SHA-512" hashValue="RxCLN1oy18fba+DPBM5jZe4pFHKm5gbcMeZEqf+JXN5KB3D062hM3zVHWiI28IhF28ILvVNzh4RfFlEOvU49iA==" saltValue="uUB8vKUz9Bmr1fLYGm8ZLg==" spinCount="100000" sheet="1" formatColumns="0"/>
  <mergeCells count="2">
    <mergeCell ref="C10:C14"/>
    <mergeCell ref="B10:B14"/>
  </mergeCells>
  <conditionalFormatting sqref="C4">
    <cfRule type="expression" dxfId="245" priority="37" stopIfTrue="1">
      <formula>#REF!="NEI"</formula>
    </cfRule>
  </conditionalFormatting>
  <conditionalFormatting sqref="C6">
    <cfRule type="expression" dxfId="244" priority="36" stopIfTrue="1">
      <formula>#REF!="NEI"</formula>
    </cfRule>
  </conditionalFormatting>
  <conditionalFormatting sqref="C5">
    <cfRule type="expression" dxfId="243" priority="33" stopIfTrue="1">
      <formula>#REF!="NEI"</formula>
    </cfRule>
  </conditionalFormatting>
  <conditionalFormatting sqref="C9">
    <cfRule type="expression" dxfId="242" priority="32" stopIfTrue="1">
      <formula>#REF!="NEI"</formula>
    </cfRule>
  </conditionalFormatting>
  <conditionalFormatting sqref="C8">
    <cfRule type="expression" dxfId="241" priority="31" stopIfTrue="1">
      <formula>#REF!="NEI"</formula>
    </cfRule>
  </conditionalFormatting>
  <conditionalFormatting sqref="C18">
    <cfRule type="expression" dxfId="240" priority="27" stopIfTrue="1">
      <formula>#REF!="NEI"</formula>
    </cfRule>
  </conditionalFormatting>
  <conditionalFormatting sqref="C19:C20">
    <cfRule type="expression" dxfId="239" priority="26" stopIfTrue="1">
      <formula>#REF!="NEI"</formula>
    </cfRule>
  </conditionalFormatting>
  <conditionalFormatting sqref="C10">
    <cfRule type="expression" dxfId="238" priority="25" stopIfTrue="1">
      <formula>#REF!="NEI"</formula>
    </cfRule>
  </conditionalFormatting>
  <conditionalFormatting sqref="C17">
    <cfRule type="expression" dxfId="237" priority="24" stopIfTrue="1">
      <formula>#REF!="NEI"</formula>
    </cfRule>
  </conditionalFormatting>
  <conditionalFormatting sqref="C22:C23">
    <cfRule type="expression" dxfId="236" priority="23" stopIfTrue="1">
      <formula>#REF!="NEI"</formula>
    </cfRule>
  </conditionalFormatting>
  <conditionalFormatting sqref="C7">
    <cfRule type="expression" dxfId="235" priority="6" stopIfTrue="1">
      <formula>#REF!="NEI"</formula>
    </cfRule>
  </conditionalFormatting>
  <conditionalFormatting sqref="C16">
    <cfRule type="expression" dxfId="234" priority="2" stopIfTrue="1">
      <formula>#REF!="NEI"</formula>
    </cfRule>
  </conditionalFormatting>
  <conditionalFormatting sqref="F24:I24">
    <cfRule type="expression" dxfId="233" priority="1" stopIfTrue="1">
      <formula>#REF!="NEI"</formula>
    </cfRule>
  </conditionalFormatting>
  <dataValidations count="1">
    <dataValidation type="list" allowBlank="1" showInputMessage="1" showErrorMessage="1" sqref="C29" xr:uid="{00000000-0002-0000-0000-000000000000}">
      <formula1>"Ja,Nei"</formula1>
    </dataValidation>
  </dataValidations>
  <hyperlinks>
    <hyperlink ref="K21" r:id="rId1" xr:uid="{00000000-0004-0000-0000-000000000000}"/>
  </hyperlinks>
  <pageMargins left="0.43307086614173229" right="0.35433070866141736" top="0.74803149606299213" bottom="0.74803149606299213" header="0.31496062992125984" footer="0.31496062992125984"/>
  <pageSetup paperSize="9" orientation="landscape" r:id="rId2"/>
  <legacyDrawing r:id="rId3"/>
  <extLst>
    <ext xmlns:x14="http://schemas.microsoft.com/office/spreadsheetml/2009/9/main" uri="{CCE6A557-97BC-4b89-ADB6-D9C93CAAB3DF}">
      <x14:dataValidations xmlns:xm="http://schemas.microsoft.com/office/excel/2006/main" count="1">
        <x14:dataValidation type="list" showInputMessage="1" showErrorMessage="1" xr:uid="{00000000-0002-0000-0000-000001000000}">
          <x14:formula1>
            <xm:f>Tabeller!$G$6:$G$7</xm:f>
          </x14:formula1>
          <xm:sqref>C27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B050"/>
    <pageSetUpPr fitToPage="1"/>
  </sheetPr>
  <dimension ref="A1:I9"/>
  <sheetViews>
    <sheetView showGridLines="0" zoomScaleNormal="100" workbookViewId="0">
      <selection activeCell="C8" sqref="C8"/>
    </sheetView>
  </sheetViews>
  <sheetFormatPr defaultColWidth="9.140625" defaultRowHeight="12.75" x14ac:dyDescent="0.2"/>
  <cols>
    <col min="1" max="1" width="24.5703125" style="48" customWidth="1"/>
    <col min="2" max="2" width="25.42578125" style="48" customWidth="1"/>
    <col min="3" max="3" width="21.140625" style="48" customWidth="1"/>
    <col min="4" max="4" width="21.42578125" style="48" customWidth="1"/>
    <col min="5" max="5" width="21.5703125" style="48" customWidth="1"/>
    <col min="6" max="6" width="20" style="48" customWidth="1"/>
    <col min="7" max="7" width="13.5703125" style="48" customWidth="1"/>
    <col min="8" max="8" width="10.42578125" style="48" bestFit="1" customWidth="1"/>
    <col min="9" max="9" width="14.42578125" style="48" bestFit="1" customWidth="1"/>
    <col min="10" max="10" width="9.42578125" style="48" bestFit="1" customWidth="1"/>
    <col min="11" max="16384" width="9.140625" style="48"/>
  </cols>
  <sheetData>
    <row r="1" spans="1:9" ht="21" x14ac:dyDescent="0.35">
      <c r="A1" s="57" t="s">
        <v>40</v>
      </c>
      <c r="B1" s="46"/>
      <c r="C1" s="46"/>
      <c r="F1" s="44"/>
      <c r="G1" s="45"/>
      <c r="H1" s="45"/>
      <c r="I1" s="45"/>
    </row>
    <row r="2" spans="1:9" ht="18.75" x14ac:dyDescent="0.3">
      <c r="A2" s="62" t="s">
        <v>41</v>
      </c>
      <c r="B2" s="46" t="str">
        <f>IF(Registrering!C4="","",Registrering!C4)</f>
        <v/>
      </c>
      <c r="E2" s="45"/>
      <c r="F2" s="44"/>
      <c r="G2" s="45"/>
      <c r="H2" s="45"/>
      <c r="I2" s="45"/>
    </row>
    <row r="3" spans="1:9" ht="18.75" x14ac:dyDescent="0.3">
      <c r="A3" s="62"/>
      <c r="B3" s="70"/>
      <c r="E3" s="45"/>
      <c r="F3" s="44"/>
      <c r="G3" s="45"/>
      <c r="H3" s="45"/>
      <c r="I3" s="45"/>
    </row>
    <row r="4" spans="1:9" ht="18.75" x14ac:dyDescent="0.3">
      <c r="A4" s="46"/>
      <c r="B4" s="46"/>
      <c r="C4" s="46"/>
      <c r="E4" s="45"/>
      <c r="F4" s="44"/>
      <c r="G4" s="45"/>
      <c r="H4" s="45"/>
      <c r="I4" s="45"/>
    </row>
    <row r="5" spans="1:9" ht="18.75" x14ac:dyDescent="0.3">
      <c r="A5" s="46" t="s">
        <v>42</v>
      </c>
      <c r="B5" s="46"/>
      <c r="C5" s="46" t="s">
        <v>43</v>
      </c>
      <c r="D5" s="50"/>
      <c r="E5" s="50"/>
      <c r="F5" s="50"/>
    </row>
    <row r="6" spans="1:9" x14ac:dyDescent="0.2">
      <c r="B6" s="48" t="s">
        <v>44</v>
      </c>
      <c r="C6" s="51" t="str">
        <f>Budsjett!F3</f>
        <v>Periode 1 (1-18 month)</v>
      </c>
      <c r="D6" s="51" t="str">
        <f>Budsjett!G3</f>
        <v>Periode 2 (19-36 month)</v>
      </c>
      <c r="E6" s="51" t="str">
        <f>Budsjett!H3</f>
        <v>Periode 3 (37-54 month)</v>
      </c>
      <c r="F6" s="51" t="str">
        <f>Budsjett!I3</f>
        <v>Periode 4 (55-60 (72) month)</v>
      </c>
      <c r="G6" s="54" t="s">
        <v>45</v>
      </c>
      <c r="H6" s="54" t="s">
        <v>46</v>
      </c>
    </row>
    <row r="7" spans="1:9" ht="15" x14ac:dyDescent="0.25">
      <c r="A7" s="52" t="s">
        <v>47</v>
      </c>
      <c r="B7" s="359"/>
      <c r="C7" s="174">
        <f>IFERROR('Budget for the contract'!B23,"")</f>
        <v>0</v>
      </c>
      <c r="D7" s="174">
        <f>IFERROR('Budget for the contract'!C23,"")</f>
        <v>0</v>
      </c>
      <c r="E7" s="174">
        <f>IFERROR('Budget for the contract'!D23,"")</f>
        <v>0</v>
      </c>
      <c r="F7" s="174">
        <f>IFERROR('Budget for the contract'!E23,"")</f>
        <v>0</v>
      </c>
      <c r="G7" s="53">
        <f>SUM(C7:F7)</f>
        <v>0</v>
      </c>
      <c r="H7" s="53">
        <f>IFERROR(G7/$G$9*100,0)</f>
        <v>0</v>
      </c>
    </row>
    <row r="8" spans="1:9" ht="15" x14ac:dyDescent="0.25">
      <c r="A8" s="52" t="s">
        <v>48</v>
      </c>
      <c r="B8" s="359"/>
      <c r="C8" s="56"/>
      <c r="D8" s="56"/>
      <c r="E8" s="56"/>
      <c r="F8" s="56"/>
      <c r="G8" s="53">
        <f>SUM(C8:F8)</f>
        <v>0</v>
      </c>
      <c r="H8" s="53">
        <f>IFERROR(G8/$G$9*100,0)</f>
        <v>0</v>
      </c>
    </row>
    <row r="9" spans="1:9" ht="15" x14ac:dyDescent="0.25">
      <c r="A9" s="52" t="s">
        <v>49</v>
      </c>
      <c r="B9" s="359"/>
      <c r="C9" s="53">
        <f>SUM(C7:C8)</f>
        <v>0</v>
      </c>
      <c r="D9" s="53">
        <f>SUM(D7:D8)</f>
        <v>0</v>
      </c>
      <c r="E9" s="53">
        <f>SUM(E7:E8)</f>
        <v>0</v>
      </c>
      <c r="F9" s="53">
        <f>SUM(F7:F8)</f>
        <v>0</v>
      </c>
      <c r="G9" s="53">
        <f>SUM(C9:F9)</f>
        <v>0</v>
      </c>
      <c r="H9" s="53">
        <f>IFERROR(G9/$G$9*100,0)</f>
        <v>0</v>
      </c>
    </row>
  </sheetData>
  <sheetProtection algorithmName="SHA-512" hashValue="lnO4A2DZyFygSytJke6QzXYXvdNeFIKmBs3WhzwgYEClQNemR4IbVUXwsaK5rFa9QG2t+SXarr2jLQmFWrgoAA==" saltValue="Xvo8JJQmFFw//0AN+4Zzew==" spinCount="100000" sheet="1" objects="1" scenarios="1"/>
  <conditionalFormatting sqref="D8:F8 G6:G8">
    <cfRule type="expression" dxfId="232" priority="68" stopIfTrue="1">
      <formula>#REF!="NEI"</formula>
    </cfRule>
  </conditionalFormatting>
  <conditionalFormatting sqref="C8">
    <cfRule type="expression" dxfId="231" priority="62" stopIfTrue="1">
      <formula>#REF!="NEI"</formula>
    </cfRule>
  </conditionalFormatting>
  <conditionalFormatting sqref="C5">
    <cfRule type="expression" dxfId="230" priority="51" stopIfTrue="1">
      <formula>#REF!="NEI"</formula>
    </cfRule>
  </conditionalFormatting>
  <conditionalFormatting sqref="C6:F6 H7:H9">
    <cfRule type="expression" dxfId="229" priority="44" stopIfTrue="1">
      <formula>#REF!="NEI"</formula>
    </cfRule>
  </conditionalFormatting>
  <conditionalFormatting sqref="G9">
    <cfRule type="expression" dxfId="228" priority="40" stopIfTrue="1">
      <formula>#REF!="NEI"</formula>
    </cfRule>
  </conditionalFormatting>
  <conditionalFormatting sqref="B7">
    <cfRule type="expression" dxfId="227" priority="39" stopIfTrue="1">
      <formula>#REF!="NEI"</formula>
    </cfRule>
  </conditionalFormatting>
  <conditionalFormatting sqref="B8">
    <cfRule type="expression" dxfId="226" priority="38" stopIfTrue="1">
      <formula>#REF!="NEI"</formula>
    </cfRule>
  </conditionalFormatting>
  <conditionalFormatting sqref="B9">
    <cfRule type="expression" dxfId="225" priority="36" stopIfTrue="1">
      <formula>#REF!="NEI"</formula>
    </cfRule>
  </conditionalFormatting>
  <conditionalFormatting sqref="H6">
    <cfRule type="expression" dxfId="224" priority="10" stopIfTrue="1">
      <formula>#REF!="NEI"</formula>
    </cfRule>
  </conditionalFormatting>
  <conditionalFormatting sqref="C7:F7">
    <cfRule type="expression" dxfId="223" priority="1" stopIfTrue="1">
      <formula>#REF!="NEI"</formula>
    </cfRule>
  </conditionalFormatting>
  <pageMargins left="0.70866141732283472" right="0.70866141732283472" top="0.74803149606299213" bottom="0.74803149606299213" header="0.31496062992125984" footer="0.31496062992125984"/>
  <pageSetup paperSize="9" scale="83"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6">
    <tabColor rgb="FF00B050"/>
    <pageSetUpPr fitToPage="1"/>
  </sheetPr>
  <dimension ref="A1:CA66"/>
  <sheetViews>
    <sheetView showGridLines="0" tabSelected="1" topLeftCell="Z1" zoomScale="85" zoomScaleNormal="85" zoomScalePageLayoutView="85" workbookViewId="0">
      <selection activeCell="AP7" sqref="AP7"/>
    </sheetView>
  </sheetViews>
  <sheetFormatPr defaultColWidth="9.140625" defaultRowHeight="12.75" x14ac:dyDescent="0.2"/>
  <cols>
    <col min="1" max="1" width="29.42578125" style="45" customWidth="1"/>
    <col min="2" max="2" width="32.42578125" style="45" customWidth="1"/>
    <col min="3" max="3" width="12.140625" style="45" customWidth="1"/>
    <col min="4" max="4" width="9.85546875" style="45" bestFit="1" customWidth="1"/>
    <col min="5" max="5" width="30" style="45" customWidth="1"/>
    <col min="6" max="9" width="32.42578125" style="45" customWidth="1"/>
    <col min="10" max="10" width="18.140625" style="45" customWidth="1"/>
    <col min="11" max="11" width="32" style="45" customWidth="1"/>
    <col min="12" max="12" width="16.140625" style="45" customWidth="1"/>
    <col min="13" max="13" width="19.42578125" style="45" customWidth="1"/>
    <col min="14" max="14" width="4" style="45" customWidth="1"/>
    <col min="15" max="15" width="10" style="45" customWidth="1"/>
    <col min="16" max="16" width="18.5703125" style="45" customWidth="1"/>
    <col min="17" max="20" width="12.85546875" style="45" customWidth="1"/>
    <col min="21" max="21" width="11.5703125" style="45" customWidth="1"/>
    <col min="22" max="22" width="12.42578125" style="45" customWidth="1"/>
    <col min="23" max="23" width="10.85546875" style="45" bestFit="1" customWidth="1"/>
    <col min="24" max="25" width="10.85546875" style="45" customWidth="1"/>
    <col min="26" max="26" width="9.140625" style="45"/>
    <col min="27" max="27" width="10.5703125" style="45" customWidth="1"/>
    <col min="28" max="28" width="10.42578125" style="45" customWidth="1"/>
    <col min="29" max="29" width="10.140625" style="45" customWidth="1"/>
    <col min="30" max="32" width="9.140625" style="45"/>
    <col min="33" max="33" width="14.42578125" style="45" customWidth="1"/>
    <col min="34" max="34" width="11.42578125" style="45" bestFit="1" customWidth="1"/>
    <col min="35" max="36" width="9.140625" style="45"/>
    <col min="37" max="37" width="16.140625" style="45" customWidth="1"/>
    <col min="38" max="38" width="16" style="45" customWidth="1"/>
    <col min="39" max="39" width="14.5703125" style="45" bestFit="1" customWidth="1"/>
    <col min="40" max="40" width="13.85546875" style="45" bestFit="1" customWidth="1"/>
    <col min="41" max="41" width="15" style="45" bestFit="1" customWidth="1"/>
    <col min="42" max="42" width="20" style="45" customWidth="1"/>
    <col min="43" max="43" width="28.42578125" style="45" bestFit="1" customWidth="1"/>
    <col min="44" max="44" width="13.85546875" style="45" bestFit="1" customWidth="1"/>
    <col min="45" max="46" width="14.140625" style="45" bestFit="1" customWidth="1"/>
    <col min="47" max="47" width="12.5703125" style="45" bestFit="1" customWidth="1"/>
    <col min="48" max="48" width="9.140625" style="45"/>
    <col min="49" max="49" width="18.5703125" style="45" customWidth="1"/>
    <col min="50" max="50" width="19.42578125" style="45" customWidth="1"/>
    <col min="51" max="51" width="14.42578125" style="45" customWidth="1"/>
    <col min="52" max="52" width="17.140625" style="45" customWidth="1"/>
    <col min="53" max="53" width="10.5703125" style="45" customWidth="1"/>
    <col min="54" max="54" width="9.140625" style="45"/>
    <col min="55" max="55" width="24.85546875" style="45" bestFit="1" customWidth="1"/>
    <col min="56" max="56" width="13.85546875" style="45" bestFit="1" customWidth="1"/>
    <col min="57" max="57" width="12.85546875" style="45" bestFit="1" customWidth="1"/>
    <col min="58" max="58" width="13.5703125" style="45" bestFit="1" customWidth="1"/>
    <col min="59" max="59" width="9.140625" style="45"/>
    <col min="60" max="60" width="17.85546875" style="84" bestFit="1" customWidth="1"/>
    <col min="61" max="61" width="16.5703125" style="45" customWidth="1"/>
    <col min="62" max="62" width="16" style="45" bestFit="1" customWidth="1"/>
    <col min="63" max="63" width="16.42578125" style="45" bestFit="1" customWidth="1"/>
    <col min="64" max="64" width="15.5703125" style="45" bestFit="1" customWidth="1"/>
    <col min="65" max="65" width="17.42578125" style="45" bestFit="1" customWidth="1"/>
    <col min="66" max="66" width="10.140625" style="45" customWidth="1"/>
    <col min="67" max="67" width="20.42578125" style="45" customWidth="1"/>
    <col min="68" max="68" width="14.140625" style="45" bestFit="1" customWidth="1"/>
    <col min="69" max="69" width="13.140625" style="45" bestFit="1" customWidth="1"/>
    <col min="70" max="70" width="14.140625" style="45" bestFit="1" customWidth="1"/>
    <col min="71" max="71" width="14.5703125" style="45" bestFit="1" customWidth="1"/>
    <col min="72" max="72" width="16.5703125" style="45" bestFit="1" customWidth="1"/>
    <col min="73" max="74" width="9.140625" style="45"/>
    <col min="75" max="75" width="14.5703125" style="45" customWidth="1"/>
    <col min="76" max="76" width="13.5703125" style="45" bestFit="1" customWidth="1"/>
    <col min="77" max="77" width="13.85546875" style="45" bestFit="1" customWidth="1"/>
    <col min="78" max="78" width="11.85546875" style="45" bestFit="1" customWidth="1"/>
    <col min="79" max="79" width="14.85546875" style="45" customWidth="1"/>
    <col min="80" max="16384" width="9.140625" style="45"/>
  </cols>
  <sheetData>
    <row r="1" spans="1:79" ht="18.75" x14ac:dyDescent="0.3">
      <c r="A1" s="46" t="s">
        <v>50</v>
      </c>
      <c r="B1" s="46"/>
      <c r="C1" s="46"/>
      <c r="D1" s="46" t="str">
        <f>IF(Registrering!$C$4="","",Registrering!$C$4)</f>
        <v/>
      </c>
      <c r="E1" s="44"/>
      <c r="K1" s="47"/>
      <c r="AL1" s="44" t="s">
        <v>51</v>
      </c>
      <c r="AQ1" s="44" t="s">
        <v>52</v>
      </c>
      <c r="AW1" s="44" t="s">
        <v>53</v>
      </c>
      <c r="BC1" s="45" t="s">
        <v>54</v>
      </c>
      <c r="BI1" s="136"/>
      <c r="BO1" s="45" t="s">
        <v>55</v>
      </c>
      <c r="BV1" s="45" t="s">
        <v>56</v>
      </c>
    </row>
    <row r="2" spans="1:79" ht="21" x14ac:dyDescent="0.35">
      <c r="A2" s="55" t="s">
        <v>57</v>
      </c>
      <c r="B2" s="55"/>
      <c r="C2" s="49"/>
      <c r="D2" s="49"/>
      <c r="E2" s="55"/>
      <c r="F2" s="57" t="s">
        <v>58</v>
      </c>
      <c r="K2" s="47" t="s">
        <v>59</v>
      </c>
      <c r="BH2" s="148" t="s">
        <v>60</v>
      </c>
    </row>
    <row r="3" spans="1:79" ht="15" x14ac:dyDescent="0.25">
      <c r="A3" s="85" t="s">
        <v>61</v>
      </c>
      <c r="B3" s="265" t="s">
        <v>62</v>
      </c>
      <c r="C3" s="85" t="s">
        <v>63</v>
      </c>
      <c r="D3" s="85" t="s">
        <v>64</v>
      </c>
      <c r="E3" s="85" t="s">
        <v>44</v>
      </c>
      <c r="F3" s="86" t="s">
        <v>65</v>
      </c>
      <c r="G3" s="86" t="s">
        <v>66</v>
      </c>
      <c r="H3" s="86" t="s">
        <v>67</v>
      </c>
      <c r="I3" s="86" t="s">
        <v>68</v>
      </c>
      <c r="J3" s="87" t="s">
        <v>69</v>
      </c>
      <c r="K3" s="87" t="s">
        <v>70</v>
      </c>
      <c r="L3" s="87" t="s">
        <v>71</v>
      </c>
      <c r="M3" s="87" t="s">
        <v>72</v>
      </c>
      <c r="Z3" s="59" t="s">
        <v>73</v>
      </c>
      <c r="AA3" s="60" t="s">
        <v>74</v>
      </c>
      <c r="AB3" s="60" t="s">
        <v>75</v>
      </c>
      <c r="AC3" s="60" t="s">
        <v>76</v>
      </c>
      <c r="AD3" s="60" t="s">
        <v>77</v>
      </c>
      <c r="AE3" s="60" t="s">
        <v>78</v>
      </c>
      <c r="AF3" s="60" t="s">
        <v>79</v>
      </c>
      <c r="AG3" s="60" t="s">
        <v>80</v>
      </c>
      <c r="AH3" s="60" t="s">
        <v>81</v>
      </c>
      <c r="AI3" s="60" t="s">
        <v>82</v>
      </c>
      <c r="AL3" s="25" t="str">
        <f>F3</f>
        <v>Periode 1 (1-18 month)</v>
      </c>
      <c r="AM3" s="25" t="str">
        <f>G3</f>
        <v>Periode 2 (19-36 month)</v>
      </c>
      <c r="AN3" s="25" t="str">
        <f>H3</f>
        <v>Periode 3 (37-54 month)</v>
      </c>
      <c r="AO3" s="25" t="str">
        <f>I3</f>
        <v>Periode 4 (55-60 (72) month)</v>
      </c>
      <c r="AQ3" s="25" t="str">
        <f>AL3</f>
        <v>Periode 1 (1-18 month)</v>
      </c>
      <c r="AR3" s="25" t="str">
        <f>AM3</f>
        <v>Periode 2 (19-36 month)</v>
      </c>
      <c r="AS3" s="25" t="str">
        <f>AN3</f>
        <v>Periode 3 (37-54 month)</v>
      </c>
      <c r="AT3" s="25" t="str">
        <f>AO3</f>
        <v>Periode 4 (55-60 (72) month)</v>
      </c>
      <c r="AW3" s="25" t="str">
        <f>AQ3</f>
        <v>Periode 1 (1-18 month)</v>
      </c>
      <c r="AX3" s="25" t="str">
        <f>AR3</f>
        <v>Periode 2 (19-36 month)</v>
      </c>
      <c r="AY3" s="25" t="str">
        <f>AS3</f>
        <v>Periode 3 (37-54 month)</v>
      </c>
      <c r="AZ3" s="25" t="str">
        <f>AT3</f>
        <v>Periode 4 (55-60 (72) month)</v>
      </c>
      <c r="BC3" s="25" t="str">
        <f>F3</f>
        <v>Periode 1 (1-18 month)</v>
      </c>
      <c r="BD3" s="25" t="str">
        <f>G3</f>
        <v>Periode 2 (19-36 month)</v>
      </c>
      <c r="BE3" s="25" t="str">
        <f>H3</f>
        <v>Periode 3 (37-54 month)</v>
      </c>
      <c r="BF3" s="25" t="str">
        <f>I3</f>
        <v>Periode 4 (55-60 (72) month)</v>
      </c>
      <c r="BH3" s="45"/>
      <c r="BO3" s="84"/>
      <c r="BP3" s="25" t="str">
        <f>F3</f>
        <v>Periode 1 (1-18 month)</v>
      </c>
      <c r="BQ3" s="25" t="str">
        <f>G3</f>
        <v>Periode 2 (19-36 month)</v>
      </c>
      <c r="BR3" s="25" t="str">
        <f>H3</f>
        <v>Periode 3 (37-54 month)</v>
      </c>
      <c r="BS3" s="25" t="str">
        <f>I3</f>
        <v>Periode 4 (55-60 (72) month)</v>
      </c>
      <c r="BT3" s="25" t="str">
        <f>J3</f>
        <v>Sum årsv</v>
      </c>
      <c r="BV3" s="84"/>
      <c r="BW3" s="25" t="str">
        <f>F3</f>
        <v>Periode 1 (1-18 month)</v>
      </c>
      <c r="BX3" s="25" t="str">
        <f>G3</f>
        <v>Periode 2 (19-36 month)</v>
      </c>
      <c r="BY3" s="25" t="str">
        <f>H3</f>
        <v>Periode 3 (37-54 month)</v>
      </c>
      <c r="BZ3" s="25" t="str">
        <f>I3</f>
        <v>Periode 4 (55-60 (72) month)</v>
      </c>
      <c r="CA3" s="25" t="str">
        <f>J3</f>
        <v>Sum årsv</v>
      </c>
    </row>
    <row r="4" spans="1:79" ht="15" x14ac:dyDescent="0.25">
      <c r="A4" s="201"/>
      <c r="B4" s="269" t="e">
        <f>VLOOKUP(A4,Tabeller!$W$15:$Z$23,4,FALSE)</f>
        <v>#N/A</v>
      </c>
      <c r="C4" s="360" t="s">
        <v>55</v>
      </c>
      <c r="D4" s="361"/>
      <c r="E4" s="362"/>
      <c r="F4" s="363"/>
      <c r="G4" s="363"/>
      <c r="H4" s="363"/>
      <c r="I4" s="363"/>
      <c r="J4" s="102">
        <f t="shared" ref="J4:J11" si="0">SUM(F4:I4)</f>
        <v>0</v>
      </c>
      <c r="K4" s="22">
        <f t="shared" ref="K4:K11" si="1">SUM(AL4:AO4)</f>
        <v>0</v>
      </c>
      <c r="L4" s="22">
        <f t="shared" ref="L4:L11" si="2">IFERROR(SUM(AQ4:AT4),0)</f>
        <v>0</v>
      </c>
      <c r="M4" s="22">
        <f t="shared" ref="M4:M11" si="3">SUM(K4:L4)</f>
        <v>0</v>
      </c>
      <c r="O4" s="113"/>
      <c r="W4" s="61"/>
      <c r="X4" s="61"/>
      <c r="Y4" s="61"/>
      <c r="Z4" s="21">
        <f>D4</f>
        <v>0</v>
      </c>
      <c r="AA4" s="21">
        <f>Z4*Tabeller!I$33</f>
        <v>0</v>
      </c>
      <c r="AB4" s="21">
        <f>AA4*Tabeller!$I$35</f>
        <v>0</v>
      </c>
      <c r="AC4" s="21">
        <f>IF(AA4&gt;0,(AB4-400)/52*47,0)</f>
        <v>0</v>
      </c>
      <c r="AD4" s="21">
        <f>AC4*Tabeller!$H$24</f>
        <v>0</v>
      </c>
      <c r="AE4" s="21">
        <f>SUM(AC4:AD4,AF4)*Tabeller!$H$25</f>
        <v>0</v>
      </c>
      <c r="AF4" s="21">
        <f>AB4*Tabeller!$H$26</f>
        <v>0</v>
      </c>
      <c r="AG4" s="21">
        <f t="shared" ref="AG4" si="4">SUM(AC4:AF4)</f>
        <v>0</v>
      </c>
      <c r="AH4" s="21">
        <f>AG4+(Registrering!$E$27)</f>
        <v>465000</v>
      </c>
      <c r="AI4" s="21">
        <f>AH4/Tabeller!$H$3</f>
        <v>270.3488372093023</v>
      </c>
      <c r="AL4" s="184">
        <f>((F4*Budsjett!$AG4))</f>
        <v>0</v>
      </c>
      <c r="AM4" s="21">
        <f>((G4*Budsjett!$AG4)*(Tabeller!J$33))</f>
        <v>0</v>
      </c>
      <c r="AN4" s="21">
        <f>((H4*Budsjett!$AG4)*(Tabeller!J$33*Tabeller!J$34))</f>
        <v>0</v>
      </c>
      <c r="AO4" s="21">
        <f>((I4*Budsjett!$AG4)*(Tabeller!J$33*Tabeller!J$34*Tabeller!J$34))</f>
        <v>0</v>
      </c>
      <c r="AQ4" s="21">
        <f>IFERROR(AL4*Budsjett!$G$54,0)</f>
        <v>0</v>
      </c>
      <c r="AR4" s="21">
        <f>IFERROR(AM4*Budsjett!$G$54,0)</f>
        <v>0</v>
      </c>
      <c r="AS4" s="21">
        <f>IFERROR(AN4*Budsjett!$G$54,0)</f>
        <v>0</v>
      </c>
      <c r="AT4" s="21">
        <f>IFERROR(AO4*Budsjett!$G$54,0)</f>
        <v>0</v>
      </c>
      <c r="AW4" s="235">
        <f>IFERROR(AL4*Budsjett!AW$55,0)</f>
        <v>0</v>
      </c>
      <c r="AX4" s="235">
        <f>IFERROR(AM4*Budsjett!AX$55,0)</f>
        <v>0</v>
      </c>
      <c r="AY4" s="235">
        <f>IFERROR(AN4*Budsjett!AY$55,0)</f>
        <v>0</v>
      </c>
      <c r="AZ4" s="235">
        <f>IFERROR(AO4*Budsjett!AZ$55,0)</f>
        <v>0</v>
      </c>
      <c r="BB4" s="58"/>
      <c r="BC4" s="21">
        <f t="shared" ref="BC4:BF11" si="5">AQ4-AW4</f>
        <v>0</v>
      </c>
      <c r="BD4" s="21">
        <f t="shared" si="5"/>
        <v>0</v>
      </c>
      <c r="BE4" s="21">
        <f t="shared" si="5"/>
        <v>0</v>
      </c>
      <c r="BF4" s="21">
        <f t="shared" si="5"/>
        <v>0</v>
      </c>
      <c r="BH4" s="138" t="s">
        <v>83</v>
      </c>
      <c r="BI4" s="364">
        <f>AL35+AL47+AQ35</f>
        <v>0</v>
      </c>
      <c r="BJ4" s="365">
        <f>AM35+AM47+AR35</f>
        <v>0</v>
      </c>
      <c r="BK4" s="365">
        <f>AN35+AN47+AS35</f>
        <v>0</v>
      </c>
      <c r="BL4" s="365">
        <f>AO35+AO47+AT35</f>
        <v>0</v>
      </c>
      <c r="BM4" s="365">
        <f>AP35+AP47+AU35</f>
        <v>0</v>
      </c>
      <c r="BO4" s="84">
        <f t="shared" ref="BO4:BO47" si="6">A4</f>
        <v>0</v>
      </c>
      <c r="BP4" s="21">
        <f t="shared" ref="BP4:BS11" si="7">IF($C4=$BO$1,AL4,0)</f>
        <v>0</v>
      </c>
      <c r="BQ4" s="21">
        <f t="shared" si="7"/>
        <v>0</v>
      </c>
      <c r="BR4" s="21">
        <f t="shared" si="7"/>
        <v>0</v>
      </c>
      <c r="BS4" s="21">
        <f t="shared" si="7"/>
        <v>0</v>
      </c>
      <c r="BT4" s="25">
        <f t="shared" ref="BT4:BT12" si="8">SUM(BP4:BS4)</f>
        <v>0</v>
      </c>
      <c r="BV4" s="84">
        <f t="shared" ref="BV4:BV49" si="9">A4</f>
        <v>0</v>
      </c>
      <c r="BW4" s="21"/>
      <c r="BX4" s="21"/>
      <c r="BY4" s="21"/>
      <c r="BZ4" s="21"/>
      <c r="CA4" s="25">
        <f t="shared" ref="CA4:CA12" si="10">SUM(BW4:BZ4)</f>
        <v>0</v>
      </c>
    </row>
    <row r="5" spans="1:79" ht="15" x14ac:dyDescent="0.25">
      <c r="A5" s="201"/>
      <c r="B5" s="269" t="e">
        <f>VLOOKUP(A5,Tabeller!$W$15:$Z$23,4,FALSE)</f>
        <v>#N/A</v>
      </c>
      <c r="C5" s="360" t="s">
        <v>55</v>
      </c>
      <c r="D5" s="361"/>
      <c r="E5" s="362"/>
      <c r="F5" s="363"/>
      <c r="G5" s="363"/>
      <c r="H5" s="363"/>
      <c r="I5" s="363"/>
      <c r="J5" s="102">
        <f t="shared" si="0"/>
        <v>0</v>
      </c>
      <c r="K5" s="22">
        <f t="shared" si="1"/>
        <v>0</v>
      </c>
      <c r="L5" s="22">
        <f t="shared" si="2"/>
        <v>0</v>
      </c>
      <c r="M5" s="22">
        <f t="shared" si="3"/>
        <v>0</v>
      </c>
      <c r="Z5" s="21">
        <f t="shared" ref="Z5:Z11" si="11">D5</f>
        <v>0</v>
      </c>
      <c r="AA5" s="21">
        <f>Z5*Tabeller!I$33</f>
        <v>0</v>
      </c>
      <c r="AB5" s="21">
        <f>AA5*Tabeller!$I$35</f>
        <v>0</v>
      </c>
      <c r="AC5" s="21">
        <f t="shared" ref="AC5:AC11" si="12">IF(AA5&gt;0,(AB5-400)/52*47,0)</f>
        <v>0</v>
      </c>
      <c r="AD5" s="21">
        <f>AC5*Tabeller!$H$24</f>
        <v>0</v>
      </c>
      <c r="AE5" s="21">
        <f>SUM(AC5:AD5,AF5)*Tabeller!$H$25</f>
        <v>0</v>
      </c>
      <c r="AF5" s="21">
        <f>AB5*Tabeller!$H$26</f>
        <v>0</v>
      </c>
      <c r="AG5" s="21">
        <f t="shared" ref="AG5:AG11" si="13">SUM(AC5:AF5)</f>
        <v>0</v>
      </c>
      <c r="AH5" s="21">
        <f>AG5+(Registrering!$E$27)</f>
        <v>465000</v>
      </c>
      <c r="AI5" s="21">
        <f>AH5/Tabeller!$H$3</f>
        <v>270.3488372093023</v>
      </c>
      <c r="AL5" s="184">
        <f>((F5*Budsjett!$AG5))</f>
        <v>0</v>
      </c>
      <c r="AM5" s="21">
        <f>((G5*Budsjett!$AG5)*(Tabeller!J$33))</f>
        <v>0</v>
      </c>
      <c r="AN5" s="21">
        <f>((H5*Budsjett!$AG5)*(Tabeller!J$33*Tabeller!J$34))</f>
        <v>0</v>
      </c>
      <c r="AO5" s="21">
        <f>((I5*Budsjett!$AG5)*(Tabeller!J$33*Tabeller!J$34*Tabeller!J$34))</f>
        <v>0</v>
      </c>
      <c r="AQ5" s="21">
        <f>IFERROR(AL5*Budsjett!$G$54,0)</f>
        <v>0</v>
      </c>
      <c r="AR5" s="21">
        <f>IFERROR(AM5*Budsjett!$G$54,0)</f>
        <v>0</v>
      </c>
      <c r="AS5" s="21">
        <f>IFERROR(AN5*Budsjett!$G$54,0)</f>
        <v>0</v>
      </c>
      <c r="AT5" s="21">
        <f>IFERROR(AO5*Budsjett!$G$54,0)</f>
        <v>0</v>
      </c>
      <c r="AW5" s="235">
        <f>IFERROR(AL5*Budsjett!AW$55,0)</f>
        <v>0</v>
      </c>
      <c r="AX5" s="235">
        <f>IFERROR(AM5*Budsjett!AX$55,0)</f>
        <v>0</v>
      </c>
      <c r="AY5" s="235">
        <f>IFERROR(AN5*Budsjett!AY$55,0)</f>
        <v>0</v>
      </c>
      <c r="AZ5" s="235">
        <f>IFERROR(AO5*Budsjett!AZ$55,0)</f>
        <v>0</v>
      </c>
      <c r="BC5" s="21">
        <f t="shared" si="5"/>
        <v>0</v>
      </c>
      <c r="BD5" s="21">
        <f t="shared" si="5"/>
        <v>0</v>
      </c>
      <c r="BE5" s="21">
        <f t="shared" si="5"/>
        <v>0</v>
      </c>
      <c r="BF5" s="21">
        <f t="shared" si="5"/>
        <v>0</v>
      </c>
      <c r="BH5" s="139" t="s">
        <v>30</v>
      </c>
      <c r="BI5" s="180">
        <f>Finansiering!C9</f>
        <v>0</v>
      </c>
      <c r="BJ5" s="110">
        <f>Finansiering!D9</f>
        <v>0</v>
      </c>
      <c r="BK5" s="110">
        <f>Finansiering!E9</f>
        <v>0</v>
      </c>
      <c r="BL5" s="110">
        <f>Finansiering!F9</f>
        <v>0</v>
      </c>
      <c r="BM5" s="140">
        <f>Finansiering!G9</f>
        <v>0</v>
      </c>
      <c r="BO5" s="84">
        <f t="shared" si="6"/>
        <v>0</v>
      </c>
      <c r="BP5" s="21">
        <f t="shared" si="7"/>
        <v>0</v>
      </c>
      <c r="BQ5" s="21">
        <f t="shared" si="7"/>
        <v>0</v>
      </c>
      <c r="BR5" s="21">
        <f t="shared" si="7"/>
        <v>0</v>
      </c>
      <c r="BS5" s="21">
        <f t="shared" si="7"/>
        <v>0</v>
      </c>
      <c r="BT5" s="25">
        <f t="shared" si="8"/>
        <v>0</v>
      </c>
      <c r="BV5" s="84">
        <f t="shared" si="9"/>
        <v>0</v>
      </c>
      <c r="BW5" s="21"/>
      <c r="BX5" s="21"/>
      <c r="BY5" s="21"/>
      <c r="BZ5" s="21"/>
      <c r="CA5" s="25">
        <f t="shared" si="10"/>
        <v>0</v>
      </c>
    </row>
    <row r="6" spans="1:79" ht="15" x14ac:dyDescent="0.25">
      <c r="A6" s="201"/>
      <c r="B6" s="269" t="e">
        <f>VLOOKUP(A6,Tabeller!$W$15:$Z$23,4,FALSE)</f>
        <v>#N/A</v>
      </c>
      <c r="C6" s="360" t="s">
        <v>55</v>
      </c>
      <c r="D6" s="361"/>
      <c r="E6" s="362"/>
      <c r="F6" s="363"/>
      <c r="G6" s="363"/>
      <c r="H6" s="363"/>
      <c r="I6" s="363"/>
      <c r="J6" s="102">
        <f t="shared" si="0"/>
        <v>0</v>
      </c>
      <c r="K6" s="22">
        <f t="shared" si="1"/>
        <v>0</v>
      </c>
      <c r="L6" s="22">
        <f t="shared" si="2"/>
        <v>0</v>
      </c>
      <c r="M6" s="22">
        <f t="shared" si="3"/>
        <v>0</v>
      </c>
      <c r="Z6" s="21">
        <f t="shared" si="11"/>
        <v>0</v>
      </c>
      <c r="AA6" s="21">
        <f>Z6*Tabeller!I$33</f>
        <v>0</v>
      </c>
      <c r="AB6" s="21">
        <f>AA6*Tabeller!$I$35</f>
        <v>0</v>
      </c>
      <c r="AC6" s="21">
        <f t="shared" si="12"/>
        <v>0</v>
      </c>
      <c r="AD6" s="21">
        <f>AC6*Tabeller!$H$24</f>
        <v>0</v>
      </c>
      <c r="AE6" s="21">
        <f>SUM(AC6:AD6,AF6)*Tabeller!$H$25</f>
        <v>0</v>
      </c>
      <c r="AF6" s="21">
        <f>AB6*Tabeller!$H$26</f>
        <v>0</v>
      </c>
      <c r="AG6" s="21">
        <f t="shared" si="13"/>
        <v>0</v>
      </c>
      <c r="AH6" s="21">
        <f>AG6+(Registrering!$E$27)</f>
        <v>465000</v>
      </c>
      <c r="AI6" s="21">
        <f>AH6/Tabeller!$H$3</f>
        <v>270.3488372093023</v>
      </c>
      <c r="AL6" s="184">
        <f>((F6*Budsjett!$AG6))</f>
        <v>0</v>
      </c>
      <c r="AM6" s="21">
        <f>((G6*Budsjett!$AG6)*(Tabeller!J$33))</f>
        <v>0</v>
      </c>
      <c r="AN6" s="21">
        <f>((H6*Budsjett!$AG6)*(Tabeller!J$33*Tabeller!J$34))</f>
        <v>0</v>
      </c>
      <c r="AO6" s="21">
        <f>((I6*Budsjett!$AG6)*(Tabeller!J$33*Tabeller!J$34*Tabeller!J$34))</f>
        <v>0</v>
      </c>
      <c r="AQ6" s="21">
        <f>IFERROR(AL6*Budsjett!$G$54,0)</f>
        <v>0</v>
      </c>
      <c r="AR6" s="21">
        <f>IFERROR(AM6*Budsjett!$G$54,0)</f>
        <v>0</v>
      </c>
      <c r="AS6" s="21">
        <f>IFERROR(AN6*Budsjett!$G$54,0)</f>
        <v>0</v>
      </c>
      <c r="AT6" s="21">
        <f>IFERROR(AO6*Budsjett!$G$54,0)</f>
        <v>0</v>
      </c>
      <c r="AW6" s="235">
        <f>IFERROR(AL6*Budsjett!AW$55,0)</f>
        <v>0</v>
      </c>
      <c r="AX6" s="235">
        <f>IFERROR(AM6*Budsjett!AX$55,0)</f>
        <v>0</v>
      </c>
      <c r="AY6" s="235">
        <f>IFERROR(AN6*Budsjett!AY$55,0)</f>
        <v>0</v>
      </c>
      <c r="AZ6" s="235">
        <f>IFERROR(AO6*Budsjett!AZ$55,0)</f>
        <v>0</v>
      </c>
      <c r="BC6" s="21">
        <f t="shared" si="5"/>
        <v>0</v>
      </c>
      <c r="BD6" s="21">
        <f t="shared" si="5"/>
        <v>0</v>
      </c>
      <c r="BE6" s="21">
        <f t="shared" si="5"/>
        <v>0</v>
      </c>
      <c r="BF6" s="21">
        <f t="shared" si="5"/>
        <v>0</v>
      </c>
      <c r="BH6" s="141" t="s">
        <v>84</v>
      </c>
      <c r="BI6" s="142">
        <f>-(AL28+BC35+BW41)</f>
        <v>0</v>
      </c>
      <c r="BJ6" s="142">
        <f>-(AM28+BD35+BX41)</f>
        <v>0</v>
      </c>
      <c r="BK6" s="142">
        <f>-(AN28+BE35+BY41)</f>
        <v>0</v>
      </c>
      <c r="BL6" s="142">
        <f>-(AO28+BF35+BZ41)</f>
        <v>0</v>
      </c>
      <c r="BM6" s="143">
        <f>SUM(BI6:BL6)</f>
        <v>0</v>
      </c>
      <c r="BO6" s="84">
        <f t="shared" si="6"/>
        <v>0</v>
      </c>
      <c r="BP6" s="21">
        <f t="shared" si="7"/>
        <v>0</v>
      </c>
      <c r="BQ6" s="21">
        <f t="shared" si="7"/>
        <v>0</v>
      </c>
      <c r="BR6" s="21">
        <f t="shared" si="7"/>
        <v>0</v>
      </c>
      <c r="BS6" s="21">
        <f t="shared" si="7"/>
        <v>0</v>
      </c>
      <c r="BT6" s="25">
        <f t="shared" si="8"/>
        <v>0</v>
      </c>
      <c r="BV6" s="84">
        <f t="shared" si="9"/>
        <v>0</v>
      </c>
      <c r="BW6" s="21"/>
      <c r="BX6" s="21"/>
      <c r="BY6" s="21"/>
      <c r="BZ6" s="21"/>
      <c r="CA6" s="25">
        <f t="shared" si="10"/>
        <v>0</v>
      </c>
    </row>
    <row r="7" spans="1:79" ht="15" x14ac:dyDescent="0.25">
      <c r="A7" s="201"/>
      <c r="B7" s="269" t="e">
        <f>VLOOKUP(A7,Tabeller!$W$15:$Z$23,4,FALSE)</f>
        <v>#N/A</v>
      </c>
      <c r="C7" s="360" t="s">
        <v>55</v>
      </c>
      <c r="D7" s="361"/>
      <c r="E7" s="362"/>
      <c r="F7" s="363"/>
      <c r="G7" s="363"/>
      <c r="H7" s="363"/>
      <c r="I7" s="363"/>
      <c r="J7" s="102">
        <f t="shared" si="0"/>
        <v>0</v>
      </c>
      <c r="K7" s="22">
        <f t="shared" si="1"/>
        <v>0</v>
      </c>
      <c r="L7" s="22">
        <f t="shared" si="2"/>
        <v>0</v>
      </c>
      <c r="M7" s="22">
        <f t="shared" si="3"/>
        <v>0</v>
      </c>
      <c r="O7" s="61">
        <f>(Budsjett!M38+Budsjett!M40)</f>
        <v>0</v>
      </c>
      <c r="Z7" s="21">
        <f t="shared" si="11"/>
        <v>0</v>
      </c>
      <c r="AA7" s="21">
        <f>Z7*Tabeller!I$33</f>
        <v>0</v>
      </c>
      <c r="AB7" s="21">
        <f>AA7*Tabeller!$I$35</f>
        <v>0</v>
      </c>
      <c r="AC7" s="21">
        <f t="shared" si="12"/>
        <v>0</v>
      </c>
      <c r="AD7" s="21">
        <f>AC7*Tabeller!$H$24</f>
        <v>0</v>
      </c>
      <c r="AE7" s="21">
        <f>SUM(AC7:AD7,AF7)*Tabeller!$H$25</f>
        <v>0</v>
      </c>
      <c r="AF7" s="21">
        <f>AB7*Tabeller!$H$26</f>
        <v>0</v>
      </c>
      <c r="AG7" s="21">
        <f t="shared" si="13"/>
        <v>0</v>
      </c>
      <c r="AH7" s="21">
        <f>AG7+(Registrering!$E$27)</f>
        <v>465000</v>
      </c>
      <c r="AI7" s="21">
        <f>AH7/Tabeller!$H$3</f>
        <v>270.3488372093023</v>
      </c>
      <c r="AL7" s="184">
        <f>((F7*Budsjett!$AG7))</f>
        <v>0</v>
      </c>
      <c r="AM7" s="21">
        <f>((G7*Budsjett!$AG7)*(Tabeller!J$33))</f>
        <v>0</v>
      </c>
      <c r="AN7" s="21">
        <f>((H7*Budsjett!$AG7)*(Tabeller!J$33*Tabeller!J$34))</f>
        <v>0</v>
      </c>
      <c r="AO7" s="21">
        <f>((I7*Budsjett!$AG7)*(Tabeller!J$33*Tabeller!J$34*Tabeller!J$34))</f>
        <v>0</v>
      </c>
      <c r="AQ7" s="21">
        <f>IFERROR(AL7*Budsjett!$G$54,0)</f>
        <v>0</v>
      </c>
      <c r="AR7" s="21">
        <f>IFERROR(AM7*Budsjett!$G$54,0)</f>
        <v>0</v>
      </c>
      <c r="AS7" s="21">
        <f>IFERROR(AN7*Budsjett!$G$54,0)</f>
        <v>0</v>
      </c>
      <c r="AT7" s="21">
        <f>IFERROR(AO7*Budsjett!$G$54,0)</f>
        <v>0</v>
      </c>
      <c r="AW7" s="235">
        <f>IFERROR(AL7*Budsjett!AW$55,0)</f>
        <v>0</v>
      </c>
      <c r="AX7" s="235">
        <f>IFERROR(AM7*Budsjett!AX$55,0)</f>
        <v>0</v>
      </c>
      <c r="AY7" s="235">
        <f>IFERROR(AN7*Budsjett!AY$55,0)</f>
        <v>0</v>
      </c>
      <c r="AZ7" s="235">
        <f>IFERROR(AO7*Budsjett!AZ$55,0)</f>
        <v>0</v>
      </c>
      <c r="BC7" s="21">
        <f t="shared" si="5"/>
        <v>0</v>
      </c>
      <c r="BD7" s="21">
        <f t="shared" si="5"/>
        <v>0</v>
      </c>
      <c r="BE7" s="21">
        <f t="shared" si="5"/>
        <v>0</v>
      </c>
      <c r="BF7" s="21">
        <f t="shared" si="5"/>
        <v>0</v>
      </c>
      <c r="BO7" s="84">
        <f t="shared" si="6"/>
        <v>0</v>
      </c>
      <c r="BP7" s="21">
        <f t="shared" si="7"/>
        <v>0</v>
      </c>
      <c r="BQ7" s="21">
        <f t="shared" si="7"/>
        <v>0</v>
      </c>
      <c r="BR7" s="21">
        <f t="shared" si="7"/>
        <v>0</v>
      </c>
      <c r="BS7" s="21">
        <f t="shared" si="7"/>
        <v>0</v>
      </c>
      <c r="BT7" s="25">
        <f t="shared" si="8"/>
        <v>0</v>
      </c>
      <c r="BV7" s="84">
        <f t="shared" si="9"/>
        <v>0</v>
      </c>
      <c r="BW7" s="21"/>
      <c r="BX7" s="21"/>
      <c r="BY7" s="21"/>
      <c r="BZ7" s="21"/>
      <c r="CA7" s="25">
        <f t="shared" si="10"/>
        <v>0</v>
      </c>
    </row>
    <row r="8" spans="1:79" ht="15" x14ac:dyDescent="0.25">
      <c r="A8" s="201"/>
      <c r="B8" s="269" t="e">
        <f>VLOOKUP(A8,Tabeller!$W$15:$Z$23,4,FALSE)</f>
        <v>#N/A</v>
      </c>
      <c r="C8" s="360" t="s">
        <v>55</v>
      </c>
      <c r="D8" s="361"/>
      <c r="E8" s="362"/>
      <c r="F8" s="363"/>
      <c r="G8" s="363"/>
      <c r="H8" s="363"/>
      <c r="I8" s="363"/>
      <c r="J8" s="102">
        <f t="shared" si="0"/>
        <v>0</v>
      </c>
      <c r="K8" s="22">
        <f t="shared" si="1"/>
        <v>0</v>
      </c>
      <c r="L8" s="22">
        <f t="shared" si="2"/>
        <v>0</v>
      </c>
      <c r="M8" s="22">
        <f t="shared" si="3"/>
        <v>0</v>
      </c>
      <c r="Z8" s="21">
        <f t="shared" si="11"/>
        <v>0</v>
      </c>
      <c r="AA8" s="21">
        <f>Z8*Tabeller!I$33</f>
        <v>0</v>
      </c>
      <c r="AB8" s="21">
        <f>AA8*Tabeller!$I$35</f>
        <v>0</v>
      </c>
      <c r="AC8" s="21">
        <f t="shared" si="12"/>
        <v>0</v>
      </c>
      <c r="AD8" s="21">
        <f>AC8*Tabeller!$H$24</f>
        <v>0</v>
      </c>
      <c r="AE8" s="21">
        <f>SUM(AC8:AD8,AF8)*Tabeller!$H$25</f>
        <v>0</v>
      </c>
      <c r="AF8" s="21">
        <f>AB8*Tabeller!$H$26</f>
        <v>0</v>
      </c>
      <c r="AG8" s="21">
        <f t="shared" si="13"/>
        <v>0</v>
      </c>
      <c r="AH8" s="21">
        <f>AG8+(Registrering!$E$27)</f>
        <v>465000</v>
      </c>
      <c r="AI8" s="21">
        <f>AH8/Tabeller!$H$3</f>
        <v>270.3488372093023</v>
      </c>
      <c r="AL8" s="184">
        <f>((F8*Budsjett!$AG8))</f>
        <v>0</v>
      </c>
      <c r="AM8" s="21">
        <f>((G8*Budsjett!$AG8)*(Tabeller!J$33))</f>
        <v>0</v>
      </c>
      <c r="AN8" s="21">
        <f>((H8*Budsjett!$AG8)*(Tabeller!J$33*Tabeller!J$34))</f>
        <v>0</v>
      </c>
      <c r="AO8" s="21">
        <f>((I8*Budsjett!$AG8)*(Tabeller!J$33*Tabeller!J$34*Tabeller!J$34))</f>
        <v>0</v>
      </c>
      <c r="AQ8" s="21">
        <f>IFERROR(AL8*Budsjett!$G$54,0)</f>
        <v>0</v>
      </c>
      <c r="AR8" s="21">
        <f>IFERROR(AM8*Budsjett!$G$54,0)</f>
        <v>0</v>
      </c>
      <c r="AS8" s="21">
        <f>IFERROR(AN8*Budsjett!$G$54,0)</f>
        <v>0</v>
      </c>
      <c r="AT8" s="21">
        <f>IFERROR(AO8*Budsjett!$G$54,0)</f>
        <v>0</v>
      </c>
      <c r="AW8" s="235">
        <f>IFERROR(AL8*Budsjett!AW$55,0)</f>
        <v>0</v>
      </c>
      <c r="AX8" s="235">
        <f>IFERROR(AM8*Budsjett!AX$55,0)</f>
        <v>0</v>
      </c>
      <c r="AY8" s="235">
        <f>IFERROR(AN8*Budsjett!AY$55,0)</f>
        <v>0</v>
      </c>
      <c r="AZ8" s="235">
        <f>IFERROR(AO8*Budsjett!AZ$55,0)</f>
        <v>0</v>
      </c>
      <c r="BC8" s="21">
        <f t="shared" si="5"/>
        <v>0</v>
      </c>
      <c r="BD8" s="21">
        <f t="shared" si="5"/>
        <v>0</v>
      </c>
      <c r="BE8" s="21">
        <f t="shared" si="5"/>
        <v>0</v>
      </c>
      <c r="BF8" s="21">
        <f t="shared" si="5"/>
        <v>0</v>
      </c>
      <c r="BI8" s="58"/>
      <c r="BO8" s="84">
        <f t="shared" si="6"/>
        <v>0</v>
      </c>
      <c r="BP8" s="21">
        <f t="shared" si="7"/>
        <v>0</v>
      </c>
      <c r="BQ8" s="21">
        <f t="shared" si="7"/>
        <v>0</v>
      </c>
      <c r="BR8" s="21">
        <f t="shared" si="7"/>
        <v>0</v>
      </c>
      <c r="BS8" s="21">
        <f t="shared" si="7"/>
        <v>0</v>
      </c>
      <c r="BT8" s="25">
        <f t="shared" si="8"/>
        <v>0</v>
      </c>
      <c r="BV8" s="84">
        <f t="shared" si="9"/>
        <v>0</v>
      </c>
      <c r="BW8" s="21"/>
      <c r="BX8" s="21"/>
      <c r="BY8" s="21"/>
      <c r="BZ8" s="21"/>
      <c r="CA8" s="25">
        <f t="shared" si="10"/>
        <v>0</v>
      </c>
    </row>
    <row r="9" spans="1:79" ht="15" x14ac:dyDescent="0.25">
      <c r="A9" s="201"/>
      <c r="B9" s="269" t="e">
        <f>VLOOKUP(A9,Tabeller!$W$15:$Z$23,4,FALSE)</f>
        <v>#N/A</v>
      </c>
      <c r="C9" s="360" t="s">
        <v>55</v>
      </c>
      <c r="D9" s="361"/>
      <c r="E9" s="362"/>
      <c r="F9" s="363"/>
      <c r="G9" s="363"/>
      <c r="H9" s="363"/>
      <c r="I9" s="363"/>
      <c r="J9" s="102">
        <f t="shared" si="0"/>
        <v>0</v>
      </c>
      <c r="K9" s="22">
        <f t="shared" si="1"/>
        <v>0</v>
      </c>
      <c r="L9" s="22">
        <f t="shared" si="2"/>
        <v>0</v>
      </c>
      <c r="M9" s="22">
        <f t="shared" si="3"/>
        <v>0</v>
      </c>
      <c r="Z9" s="21">
        <f t="shared" si="11"/>
        <v>0</v>
      </c>
      <c r="AA9" s="21">
        <f>Z9*Tabeller!I$33</f>
        <v>0</v>
      </c>
      <c r="AB9" s="21">
        <f>AA9*Tabeller!$I$35</f>
        <v>0</v>
      </c>
      <c r="AC9" s="21">
        <f t="shared" si="12"/>
        <v>0</v>
      </c>
      <c r="AD9" s="21">
        <f>AC9*Tabeller!$H$24</f>
        <v>0</v>
      </c>
      <c r="AE9" s="21">
        <f>SUM(AC9:AD9,AF9)*Tabeller!$H$25</f>
        <v>0</v>
      </c>
      <c r="AF9" s="21">
        <f>AB9*Tabeller!$H$26</f>
        <v>0</v>
      </c>
      <c r="AG9" s="21">
        <f t="shared" si="13"/>
        <v>0</v>
      </c>
      <c r="AH9" s="21">
        <f>AG9+(Registrering!$E$27)</f>
        <v>465000</v>
      </c>
      <c r="AI9" s="21">
        <f>AH9/Tabeller!$H$3</f>
        <v>270.3488372093023</v>
      </c>
      <c r="AL9" s="184">
        <f>((F9*Budsjett!$AG9))</f>
        <v>0</v>
      </c>
      <c r="AM9" s="21">
        <f>((G9*Budsjett!$AG9)*(Tabeller!J$33))</f>
        <v>0</v>
      </c>
      <c r="AN9" s="21">
        <f>((H9*Budsjett!$AG9)*(Tabeller!J$33*Tabeller!J$34))</f>
        <v>0</v>
      </c>
      <c r="AO9" s="21">
        <f>((I9*Budsjett!$AG9)*(Tabeller!J$33*Tabeller!J$34*Tabeller!J$34))</f>
        <v>0</v>
      </c>
      <c r="AQ9" s="21">
        <f>IFERROR(AL9*Budsjett!$G$54,0)</f>
        <v>0</v>
      </c>
      <c r="AR9" s="21">
        <f>IFERROR(AM9*Budsjett!$G$54,0)</f>
        <v>0</v>
      </c>
      <c r="AS9" s="21">
        <f>IFERROR(AN9*Budsjett!$G$54,0)</f>
        <v>0</v>
      </c>
      <c r="AT9" s="21">
        <f>IFERROR(AO9*Budsjett!$G$54,0)</f>
        <v>0</v>
      </c>
      <c r="AW9" s="235">
        <f>IFERROR(AL9*Budsjett!AW$55,0)</f>
        <v>0</v>
      </c>
      <c r="AX9" s="235">
        <f>IFERROR(AM9*Budsjett!AX$55,0)</f>
        <v>0</v>
      </c>
      <c r="AY9" s="235">
        <f>IFERROR(AN9*Budsjett!AY$55,0)</f>
        <v>0</v>
      </c>
      <c r="AZ9" s="235">
        <f>IFERROR(AO9*Budsjett!AZ$55,0)</f>
        <v>0</v>
      </c>
      <c r="BC9" s="21">
        <f t="shared" si="5"/>
        <v>0</v>
      </c>
      <c r="BD9" s="21">
        <f t="shared" si="5"/>
        <v>0</v>
      </c>
      <c r="BE9" s="21">
        <f t="shared" si="5"/>
        <v>0</v>
      </c>
      <c r="BF9" s="21">
        <f t="shared" si="5"/>
        <v>0</v>
      </c>
      <c r="BH9" s="45"/>
      <c r="BI9" s="58"/>
      <c r="BO9" s="84">
        <f t="shared" si="6"/>
        <v>0</v>
      </c>
      <c r="BP9" s="21">
        <f t="shared" si="7"/>
        <v>0</v>
      </c>
      <c r="BQ9" s="21">
        <f t="shared" si="7"/>
        <v>0</v>
      </c>
      <c r="BR9" s="21">
        <f t="shared" si="7"/>
        <v>0</v>
      </c>
      <c r="BS9" s="21">
        <f t="shared" si="7"/>
        <v>0</v>
      </c>
      <c r="BT9" s="25">
        <f t="shared" si="8"/>
        <v>0</v>
      </c>
      <c r="BV9" s="84">
        <f t="shared" si="9"/>
        <v>0</v>
      </c>
      <c r="BW9" s="21"/>
      <c r="BX9" s="21"/>
      <c r="BY9" s="21"/>
      <c r="BZ9" s="21"/>
      <c r="CA9" s="25">
        <f t="shared" si="10"/>
        <v>0</v>
      </c>
    </row>
    <row r="10" spans="1:79" ht="15" x14ac:dyDescent="0.25">
      <c r="A10" s="201"/>
      <c r="B10" s="269" t="e">
        <f>VLOOKUP(A10,Tabeller!$W$15:$Z$23,4,FALSE)</f>
        <v>#N/A</v>
      </c>
      <c r="C10" s="360" t="s">
        <v>55</v>
      </c>
      <c r="D10" s="361"/>
      <c r="E10" s="362"/>
      <c r="F10" s="363"/>
      <c r="G10" s="363"/>
      <c r="H10" s="363"/>
      <c r="I10" s="363"/>
      <c r="J10" s="102">
        <f t="shared" si="0"/>
        <v>0</v>
      </c>
      <c r="K10" s="22">
        <f t="shared" si="1"/>
        <v>0</v>
      </c>
      <c r="L10" s="22">
        <f t="shared" si="2"/>
        <v>0</v>
      </c>
      <c r="M10" s="22">
        <f t="shared" si="3"/>
        <v>0</v>
      </c>
      <c r="Z10" s="21">
        <f t="shared" si="11"/>
        <v>0</v>
      </c>
      <c r="AA10" s="21">
        <f>Z10*Tabeller!I$33</f>
        <v>0</v>
      </c>
      <c r="AB10" s="21">
        <f>AA10*Tabeller!$I$35</f>
        <v>0</v>
      </c>
      <c r="AC10" s="21">
        <f t="shared" si="12"/>
        <v>0</v>
      </c>
      <c r="AD10" s="21">
        <f>AC10*Tabeller!$H$24</f>
        <v>0</v>
      </c>
      <c r="AE10" s="21">
        <f>SUM(AC10:AD10,AF10)*Tabeller!$H$25</f>
        <v>0</v>
      </c>
      <c r="AF10" s="21">
        <f>AB10*Tabeller!$H$26</f>
        <v>0</v>
      </c>
      <c r="AG10" s="21">
        <f t="shared" si="13"/>
        <v>0</v>
      </c>
      <c r="AH10" s="21">
        <f>AG10+(Registrering!$E$27)</f>
        <v>465000</v>
      </c>
      <c r="AI10" s="21">
        <f>AH10/Tabeller!$H$3</f>
        <v>270.3488372093023</v>
      </c>
      <c r="AL10" s="184">
        <f>((F10*Budsjett!$AG10))</f>
        <v>0</v>
      </c>
      <c r="AM10" s="21">
        <f>((G10*Budsjett!$AG10)*(Tabeller!J$33))</f>
        <v>0</v>
      </c>
      <c r="AN10" s="21">
        <f>((H10*Budsjett!$AG10)*(Tabeller!J$33*Tabeller!J$34))</f>
        <v>0</v>
      </c>
      <c r="AO10" s="21">
        <f>((I10*Budsjett!$AG10)*(Tabeller!J$33*Tabeller!J$34*Tabeller!J$34))</f>
        <v>0</v>
      </c>
      <c r="AQ10" s="21">
        <f>IFERROR(AL10*Budsjett!$G$54,0)</f>
        <v>0</v>
      </c>
      <c r="AR10" s="21">
        <f>IFERROR(AM10*Budsjett!$G$54,0)</f>
        <v>0</v>
      </c>
      <c r="AS10" s="21">
        <f>IFERROR(AN10*Budsjett!$G$54,0)</f>
        <v>0</v>
      </c>
      <c r="AT10" s="21">
        <f>IFERROR(AO10*Budsjett!$G$54,0)</f>
        <v>0</v>
      </c>
      <c r="AW10" s="235">
        <f>IFERROR(AL10*Budsjett!AW$55,0)</f>
        <v>0</v>
      </c>
      <c r="AX10" s="235">
        <f>IFERROR(AM10*Budsjett!AX$55,0)</f>
        <v>0</v>
      </c>
      <c r="AY10" s="235">
        <f>IFERROR(AN10*Budsjett!AY$55,0)</f>
        <v>0</v>
      </c>
      <c r="AZ10" s="235">
        <f>IFERROR(AO10*Budsjett!AZ$55,0)</f>
        <v>0</v>
      </c>
      <c r="BC10" s="21">
        <f t="shared" si="5"/>
        <v>0</v>
      </c>
      <c r="BD10" s="21">
        <f t="shared" si="5"/>
        <v>0</v>
      </c>
      <c r="BE10" s="21">
        <f t="shared" si="5"/>
        <v>0</v>
      </c>
      <c r="BF10" s="21">
        <f t="shared" si="5"/>
        <v>0</v>
      </c>
      <c r="BH10" s="58"/>
      <c r="BI10" s="58"/>
      <c r="BO10" s="84">
        <f t="shared" si="6"/>
        <v>0</v>
      </c>
      <c r="BP10" s="21">
        <f t="shared" si="7"/>
        <v>0</v>
      </c>
      <c r="BQ10" s="21">
        <f t="shared" si="7"/>
        <v>0</v>
      </c>
      <c r="BR10" s="21">
        <f t="shared" si="7"/>
        <v>0</v>
      </c>
      <c r="BS10" s="21">
        <f t="shared" si="7"/>
        <v>0</v>
      </c>
      <c r="BT10" s="25">
        <f t="shared" si="8"/>
        <v>0</v>
      </c>
      <c r="BV10" s="84">
        <f t="shared" si="9"/>
        <v>0</v>
      </c>
      <c r="BW10" s="21"/>
      <c r="BX10" s="21"/>
      <c r="BY10" s="21"/>
      <c r="BZ10" s="21"/>
      <c r="CA10" s="25">
        <f t="shared" si="10"/>
        <v>0</v>
      </c>
    </row>
    <row r="11" spans="1:79" ht="15" x14ac:dyDescent="0.25">
      <c r="A11" s="201"/>
      <c r="B11" s="269" t="e">
        <f>VLOOKUP(A11,Tabeller!$W$15:$Z$23,4,FALSE)</f>
        <v>#N/A</v>
      </c>
      <c r="C11" s="360" t="s">
        <v>55</v>
      </c>
      <c r="D11" s="361"/>
      <c r="E11" s="362"/>
      <c r="F11" s="363"/>
      <c r="G11" s="363"/>
      <c r="H11" s="363"/>
      <c r="I11" s="363"/>
      <c r="J11" s="103">
        <f t="shared" si="0"/>
        <v>0</v>
      </c>
      <c r="K11" s="39">
        <f t="shared" si="1"/>
        <v>0</v>
      </c>
      <c r="L11" s="22">
        <f t="shared" si="2"/>
        <v>0</v>
      </c>
      <c r="M11" s="39">
        <f t="shared" si="3"/>
        <v>0</v>
      </c>
      <c r="Z11" s="21">
        <f t="shared" si="11"/>
        <v>0</v>
      </c>
      <c r="AA11" s="21">
        <f>Z11*Tabeller!I$33</f>
        <v>0</v>
      </c>
      <c r="AB11" s="21">
        <f>AA11*Tabeller!$I$35</f>
        <v>0</v>
      </c>
      <c r="AC11" s="21">
        <f t="shared" si="12"/>
        <v>0</v>
      </c>
      <c r="AD11" s="21">
        <f>AC11*Tabeller!$H$24</f>
        <v>0</v>
      </c>
      <c r="AE11" s="21">
        <f>SUM(AC11:AD11,AF11)*Tabeller!$H$25</f>
        <v>0</v>
      </c>
      <c r="AF11" s="21">
        <f>AB11*Tabeller!$H$26</f>
        <v>0</v>
      </c>
      <c r="AG11" s="21">
        <f t="shared" si="13"/>
        <v>0</v>
      </c>
      <c r="AH11" s="21">
        <f>AG11+(Registrering!$E$27)</f>
        <v>465000</v>
      </c>
      <c r="AI11" s="21">
        <f>AH11/Tabeller!$H$3</f>
        <v>270.3488372093023</v>
      </c>
      <c r="AL11" s="184">
        <f>((F11*Budsjett!$AG11))</f>
        <v>0</v>
      </c>
      <c r="AM11" s="21">
        <f>((G11*Budsjett!$AG11)*(Tabeller!J$33))</f>
        <v>0</v>
      </c>
      <c r="AN11" s="21">
        <f>((H11*Budsjett!$AG11)*(Tabeller!J$33*Tabeller!J$34))</f>
        <v>0</v>
      </c>
      <c r="AO11" s="21">
        <f>((I11*Budsjett!$AG11)*(Tabeller!J$33*Tabeller!J$34*Tabeller!J$34))</f>
        <v>0</v>
      </c>
      <c r="AQ11" s="21">
        <f>IFERROR(AL11*Budsjett!$G$54,0)</f>
        <v>0</v>
      </c>
      <c r="AR11" s="21">
        <f>IFERROR(AM11*Budsjett!$G$54,0)</f>
        <v>0</v>
      </c>
      <c r="AS11" s="21">
        <f>IFERROR(AN11*Budsjett!$G$54,0)</f>
        <v>0</v>
      </c>
      <c r="AT11" s="21">
        <f>IFERROR(AO11*Budsjett!$G$54,0)</f>
        <v>0</v>
      </c>
      <c r="AW11" s="235">
        <f>IFERROR(AL11*Budsjett!AW$55,0)</f>
        <v>0</v>
      </c>
      <c r="AX11" s="235">
        <f>IFERROR(AM11*Budsjett!AX$55,0)</f>
        <v>0</v>
      </c>
      <c r="AY11" s="235">
        <f>IFERROR(AN11*Budsjett!AY$55,0)</f>
        <v>0</v>
      </c>
      <c r="AZ11" s="235">
        <f>IFERROR(AO11*Budsjett!AZ$55,0)</f>
        <v>0</v>
      </c>
      <c r="BC11" s="21">
        <f t="shared" si="5"/>
        <v>0</v>
      </c>
      <c r="BD11" s="21">
        <f t="shared" si="5"/>
        <v>0</v>
      </c>
      <c r="BE11" s="21">
        <f t="shared" si="5"/>
        <v>0</v>
      </c>
      <c r="BF11" s="21">
        <f t="shared" si="5"/>
        <v>0</v>
      </c>
      <c r="BH11" s="58"/>
      <c r="BI11" s="61"/>
      <c r="BO11" s="84">
        <f t="shared" si="6"/>
        <v>0</v>
      </c>
      <c r="BP11" s="21">
        <f t="shared" si="7"/>
        <v>0</v>
      </c>
      <c r="BQ11" s="21">
        <f t="shared" si="7"/>
        <v>0</v>
      </c>
      <c r="BR11" s="21">
        <f t="shared" si="7"/>
        <v>0</v>
      </c>
      <c r="BS11" s="21">
        <f t="shared" si="7"/>
        <v>0</v>
      </c>
      <c r="BT11" s="25">
        <f t="shared" si="8"/>
        <v>0</v>
      </c>
      <c r="BV11" s="84">
        <f t="shared" si="9"/>
        <v>0</v>
      </c>
      <c r="BW11" s="21"/>
      <c r="BX11" s="21"/>
      <c r="BY11" s="21"/>
      <c r="BZ11" s="21"/>
      <c r="CA11" s="25">
        <f t="shared" si="10"/>
        <v>0</v>
      </c>
    </row>
    <row r="12" spans="1:79" ht="15" x14ac:dyDescent="0.25">
      <c r="A12" s="31" t="s">
        <v>45</v>
      </c>
      <c r="B12" s="31"/>
      <c r="C12" s="31"/>
      <c r="D12" s="31"/>
      <c r="E12" s="32"/>
      <c r="F12" s="100">
        <f t="shared" ref="F12:M12" si="14">SUM(F4:F11)</f>
        <v>0</v>
      </c>
      <c r="G12" s="100">
        <f t="shared" si="14"/>
        <v>0</v>
      </c>
      <c r="H12" s="100">
        <f t="shared" si="14"/>
        <v>0</v>
      </c>
      <c r="I12" s="100">
        <f t="shared" si="14"/>
        <v>0</v>
      </c>
      <c r="J12" s="101">
        <f t="shared" si="14"/>
        <v>0</v>
      </c>
      <c r="K12" s="38">
        <f t="shared" si="14"/>
        <v>0</v>
      </c>
      <c r="L12" s="38">
        <f t="shared" si="14"/>
        <v>0</v>
      </c>
      <c r="M12" s="38">
        <f t="shared" si="14"/>
        <v>0</v>
      </c>
      <c r="AL12" s="25">
        <f>SUM(AL4:AL11)</f>
        <v>0</v>
      </c>
      <c r="AM12" s="25">
        <f>SUM(AM4:AM11)</f>
        <v>0</v>
      </c>
      <c r="AN12" s="25">
        <f>SUM(AN4:AN11)</f>
        <v>0</v>
      </c>
      <c r="AO12" s="25">
        <f>SUM(AO4:AO11)</f>
        <v>0</v>
      </c>
      <c r="AP12" s="58">
        <f>SUM(AL12:AO12)</f>
        <v>0</v>
      </c>
      <c r="AQ12" s="25">
        <f>SUM(AQ4:AQ11)</f>
        <v>0</v>
      </c>
      <c r="AR12" s="25">
        <f>SUM(AR4:AR11)</f>
        <v>0</v>
      </c>
      <c r="AS12" s="25">
        <f>SUM(AS4:AS11)</f>
        <v>0</v>
      </c>
      <c r="AT12" s="25">
        <f>SUM(AT4:AT11)</f>
        <v>0</v>
      </c>
      <c r="AU12" s="58">
        <f>SUM(AQ12:AT12)</f>
        <v>0</v>
      </c>
      <c r="AW12" s="25">
        <f>SUM(AW4:AW11)</f>
        <v>0</v>
      </c>
      <c r="AX12" s="25">
        <f>SUM(AX4:AX11)</f>
        <v>0</v>
      </c>
      <c r="AY12" s="25">
        <f>SUM(AY4:AY11)</f>
        <v>0</v>
      </c>
      <c r="AZ12" s="25">
        <f>SUM(AZ4:AZ11)</f>
        <v>0</v>
      </c>
      <c r="BA12" s="58">
        <f>SUM(AW12:AZ12)</f>
        <v>0</v>
      </c>
      <c r="BB12" s="58"/>
      <c r="BC12" s="25">
        <f>SUM(BC4:BC11)</f>
        <v>0</v>
      </c>
      <c r="BD12" s="25">
        <f>SUM(BD4:BD11)</f>
        <v>0</v>
      </c>
      <c r="BE12" s="25">
        <f>SUM(BE4:BE11)</f>
        <v>0</v>
      </c>
      <c r="BF12" s="25">
        <f>SUM(BF4:BF11)</f>
        <v>0</v>
      </c>
      <c r="BG12" s="58"/>
      <c r="BI12" s="58"/>
      <c r="BO12" s="84" t="str">
        <f t="shared" si="6"/>
        <v>Sum</v>
      </c>
      <c r="BP12" s="25">
        <f>SUM(BP4:BP11)</f>
        <v>0</v>
      </c>
      <c r="BQ12" s="25">
        <f>SUM(BQ4:BQ11)</f>
        <v>0</v>
      </c>
      <c r="BR12" s="25">
        <f>SUM(BR4:BR11)</f>
        <v>0</v>
      </c>
      <c r="BS12" s="25">
        <f>SUM(BS4:BS11)</f>
        <v>0</v>
      </c>
      <c r="BT12" s="25">
        <f t="shared" si="8"/>
        <v>0</v>
      </c>
      <c r="BV12" s="84" t="str">
        <f t="shared" si="9"/>
        <v>Sum</v>
      </c>
      <c r="BW12" s="25">
        <f>SUM(BW4:BW11)</f>
        <v>0</v>
      </c>
      <c r="BX12" s="25">
        <f>SUM(BX4:BX11)</f>
        <v>0</v>
      </c>
      <c r="BY12" s="25">
        <f>SUM(BY4:BY11)</f>
        <v>0</v>
      </c>
      <c r="BZ12" s="25">
        <f>SUM(BZ4:BZ11)</f>
        <v>0</v>
      </c>
      <c r="CA12" s="25">
        <f t="shared" si="10"/>
        <v>0</v>
      </c>
    </row>
    <row r="13" spans="1:79" ht="21" x14ac:dyDescent="0.35">
      <c r="A13" s="55" t="s">
        <v>85</v>
      </c>
      <c r="B13" s="55"/>
      <c r="C13" s="49"/>
      <c r="D13" s="49"/>
      <c r="F13" s="57" t="s">
        <v>58</v>
      </c>
      <c r="BO13" s="84" t="str">
        <f t="shared" si="6"/>
        <v>Eksisterende ansatte - dekkes av prosjektbevilgning</v>
      </c>
      <c r="BV13" s="84" t="str">
        <f t="shared" si="9"/>
        <v>Eksisterende ansatte - dekkes av prosjektbevilgning</v>
      </c>
    </row>
    <row r="14" spans="1:79" ht="15" x14ac:dyDescent="0.25">
      <c r="A14" s="85" t="s">
        <v>86</v>
      </c>
      <c r="B14" s="265" t="s">
        <v>62</v>
      </c>
      <c r="C14" s="85"/>
      <c r="D14" s="85" t="s">
        <v>64</v>
      </c>
      <c r="E14" s="85" t="s">
        <v>44</v>
      </c>
      <c r="F14" s="86" t="str">
        <f>F3</f>
        <v>Periode 1 (1-18 month)</v>
      </c>
      <c r="G14" s="86" t="str">
        <f>G3</f>
        <v>Periode 2 (19-36 month)</v>
      </c>
      <c r="H14" s="86" t="str">
        <f>H3</f>
        <v>Periode 3 (37-54 month)</v>
      </c>
      <c r="I14" s="86" t="str">
        <f>I3</f>
        <v>Periode 4 (55-60 (72) month)</v>
      </c>
      <c r="J14" s="87" t="s">
        <v>45</v>
      </c>
      <c r="K14" s="87" t="s">
        <v>70</v>
      </c>
      <c r="L14" s="87" t="s">
        <v>71</v>
      </c>
      <c r="M14" s="87" t="s">
        <v>72</v>
      </c>
      <c r="Z14" s="59" t="s">
        <v>73</v>
      </c>
      <c r="AA14" s="60" t="s">
        <v>74</v>
      </c>
      <c r="AB14" s="60" t="s">
        <v>75</v>
      </c>
      <c r="AC14" s="60" t="s">
        <v>76</v>
      </c>
      <c r="AD14" s="60" t="s">
        <v>77</v>
      </c>
      <c r="AE14" s="60" t="s">
        <v>78</v>
      </c>
      <c r="AF14" s="60" t="s">
        <v>79</v>
      </c>
      <c r="AG14" s="60" t="s">
        <v>80</v>
      </c>
      <c r="AH14" s="60" t="s">
        <v>81</v>
      </c>
      <c r="AI14" s="60" t="s">
        <v>82</v>
      </c>
      <c r="AL14" s="25" t="str">
        <f>F14</f>
        <v>Periode 1 (1-18 month)</v>
      </c>
      <c r="AM14" s="25" t="str">
        <f>G14</f>
        <v>Periode 2 (19-36 month)</v>
      </c>
      <c r="AN14" s="25" t="str">
        <f>H14</f>
        <v>Periode 3 (37-54 month)</v>
      </c>
      <c r="AO14" s="25" t="str">
        <f>I14</f>
        <v>Periode 4 (55-60 (72) month)</v>
      </c>
      <c r="AQ14" s="21" t="str">
        <f>AL14</f>
        <v>Periode 1 (1-18 month)</v>
      </c>
      <c r="AR14" s="21" t="str">
        <f>AM14</f>
        <v>Periode 2 (19-36 month)</v>
      </c>
      <c r="AS14" s="21" t="str">
        <f>AN14</f>
        <v>Periode 3 (37-54 month)</v>
      </c>
      <c r="AT14" s="21" t="str">
        <f>AO14</f>
        <v>Periode 4 (55-60 (72) month)</v>
      </c>
      <c r="AW14" s="25" t="str">
        <f>AQ14</f>
        <v>Periode 1 (1-18 month)</v>
      </c>
      <c r="AX14" s="25" t="str">
        <f>AR14</f>
        <v>Periode 2 (19-36 month)</v>
      </c>
      <c r="AY14" s="25" t="str">
        <f>AS14</f>
        <v>Periode 3 (37-54 month)</v>
      </c>
      <c r="AZ14" s="25" t="str">
        <f>AT14</f>
        <v>Periode 4 (55-60 (72) month)</v>
      </c>
      <c r="BC14" s="25" t="str">
        <f>F3</f>
        <v>Periode 1 (1-18 month)</v>
      </c>
      <c r="BD14" s="25" t="str">
        <f>G3</f>
        <v>Periode 2 (19-36 month)</v>
      </c>
      <c r="BE14" s="25" t="str">
        <f>H3</f>
        <v>Periode 3 (37-54 month)</v>
      </c>
      <c r="BF14" s="25" t="str">
        <f>I3</f>
        <v>Periode 4 (55-60 (72) month)</v>
      </c>
      <c r="BO14" s="84" t="str">
        <f t="shared" si="6"/>
        <v>Frikjøp art 5892</v>
      </c>
      <c r="BP14" s="25" t="str">
        <f>BP3</f>
        <v>Periode 1 (1-18 month)</v>
      </c>
      <c r="BQ14" s="25" t="str">
        <f>BQ3</f>
        <v>Periode 2 (19-36 month)</v>
      </c>
      <c r="BR14" s="25" t="str">
        <f>BR3</f>
        <v>Periode 3 (37-54 month)</v>
      </c>
      <c r="BS14" s="25" t="str">
        <f>BS3</f>
        <v>Periode 4 (55-60 (72) month)</v>
      </c>
      <c r="BT14" s="25" t="str">
        <f>BT3</f>
        <v>Sum årsv</v>
      </c>
      <c r="BV14" s="84" t="str">
        <f t="shared" si="9"/>
        <v>Frikjøp art 5892</v>
      </c>
      <c r="BW14" s="25" t="str">
        <f>BW3</f>
        <v>Periode 1 (1-18 month)</v>
      </c>
      <c r="BX14" s="25" t="str">
        <f>BX3</f>
        <v>Periode 2 (19-36 month)</v>
      </c>
      <c r="BY14" s="25" t="str">
        <f>BY3</f>
        <v>Periode 3 (37-54 month)</v>
      </c>
      <c r="BZ14" s="25" t="str">
        <f>BZ3</f>
        <v>Periode 4 (55-60 (72) month)</v>
      </c>
      <c r="CA14" s="25" t="str">
        <f>CA3</f>
        <v>Sum årsv</v>
      </c>
    </row>
    <row r="15" spans="1:79" ht="15" x14ac:dyDescent="0.25">
      <c r="A15" s="201"/>
      <c r="B15" s="269" t="e">
        <f>VLOOKUP(A15,Tabeller!$W$15:$Z$23,4,FALSE)</f>
        <v>#N/A</v>
      </c>
      <c r="C15" s="360" t="s">
        <v>55</v>
      </c>
      <c r="D15" s="361"/>
      <c r="E15" s="362"/>
      <c r="F15" s="363"/>
      <c r="G15" s="363"/>
      <c r="H15" s="363"/>
      <c r="I15" s="363"/>
      <c r="J15" s="102">
        <f>SUM(F15:I15)</f>
        <v>0</v>
      </c>
      <c r="K15" s="22">
        <f>SUM(AL15:AO15)</f>
        <v>0</v>
      </c>
      <c r="L15" s="22">
        <f>IFERROR(SUM(AQ15:AT15),0)</f>
        <v>0</v>
      </c>
      <c r="M15" s="22">
        <f>SUM(K15:L15)</f>
        <v>0</v>
      </c>
      <c r="Z15" s="21">
        <f>D15</f>
        <v>0</v>
      </c>
      <c r="AA15" s="21">
        <f>Z15*Tabeller!I$33</f>
        <v>0</v>
      </c>
      <c r="AB15" s="21">
        <f>AA15*Tabeller!$I$35</f>
        <v>0</v>
      </c>
      <c r="AC15" s="21">
        <f t="shared" ref="AC15:AC19" si="15">IF(AA15&gt;0,(AB15-400)/52*47,0)</f>
        <v>0</v>
      </c>
      <c r="AD15" s="21">
        <f>AC15*Tabeller!$H$24</f>
        <v>0</v>
      </c>
      <c r="AE15" s="21">
        <f>SUM(AC15:AD15,AF15)*Tabeller!$H$25</f>
        <v>0</v>
      </c>
      <c r="AF15" s="21">
        <f>AB15*Tabeller!$H$26</f>
        <v>0</v>
      </c>
      <c r="AG15" s="21">
        <f t="shared" ref="AG15:AG19" si="16">SUM(AC15:AF15)</f>
        <v>0</v>
      </c>
      <c r="AH15" s="21">
        <f>AG15+(Registrering!$E$27)</f>
        <v>465000</v>
      </c>
      <c r="AI15" s="21">
        <f>AH15/Tabeller!$H$3</f>
        <v>270.3488372093023</v>
      </c>
      <c r="AL15" s="184">
        <f>((F15*Budsjett!$AG15))</f>
        <v>0</v>
      </c>
      <c r="AM15" s="21">
        <f>((G15*Budsjett!$AG15)*(Tabeller!J$33))</f>
        <v>0</v>
      </c>
      <c r="AN15" s="21">
        <f>((H15*Budsjett!$AG15)*(Tabeller!J$33*Tabeller!J$34))</f>
        <v>0</v>
      </c>
      <c r="AO15" s="21">
        <f>((I15*Budsjett!$AG15)*(Tabeller!J$33*Tabeller!J$34*Tabeller!J$34))</f>
        <v>0</v>
      </c>
      <c r="AQ15" s="21">
        <f>IFERROR(AL15*Budsjett!$G$54,0)</f>
        <v>0</v>
      </c>
      <c r="AR15" s="21">
        <f>IFERROR(AM15*Budsjett!$G$54,0)</f>
        <v>0</v>
      </c>
      <c r="AS15" s="21">
        <f>IFERROR(AN15*Budsjett!$G$54,0)</f>
        <v>0</v>
      </c>
      <c r="AT15" s="21">
        <f>IFERROR(AO15*Budsjett!$G$54,0)</f>
        <v>0</v>
      </c>
      <c r="AW15" s="235">
        <f>IFERROR(AL15*Budsjett!AW$55,0)</f>
        <v>0</v>
      </c>
      <c r="AX15" s="235">
        <f>IFERROR(AM15*Budsjett!AX$55,0)</f>
        <v>0</v>
      </c>
      <c r="AY15" s="235">
        <f>IFERROR(AN15*Budsjett!AY$55,0)</f>
        <v>0</v>
      </c>
      <c r="AZ15" s="235">
        <f>IFERROR(AO15*Budsjett!AZ$55,0)</f>
        <v>0</v>
      </c>
      <c r="BC15" s="21">
        <f t="shared" ref="BC15:BF19" si="17">AQ15-AW15</f>
        <v>0</v>
      </c>
      <c r="BD15" s="21">
        <f t="shared" si="17"/>
        <v>0</v>
      </c>
      <c r="BE15" s="21">
        <f t="shared" si="17"/>
        <v>0</v>
      </c>
      <c r="BF15" s="21">
        <f t="shared" si="17"/>
        <v>0</v>
      </c>
      <c r="BO15" s="84">
        <f t="shared" si="6"/>
        <v>0</v>
      </c>
      <c r="BP15" s="21">
        <f t="shared" ref="BP15:BS19" si="18">IF($C15=$BO$1,AL15,0)</f>
        <v>0</v>
      </c>
      <c r="BQ15" s="21">
        <f t="shared" si="18"/>
        <v>0</v>
      </c>
      <c r="BR15" s="21">
        <f t="shared" si="18"/>
        <v>0</v>
      </c>
      <c r="BS15" s="21">
        <f t="shared" si="18"/>
        <v>0</v>
      </c>
      <c r="BT15" s="25">
        <f t="shared" ref="BT15:BT20" si="19">SUM(BP15:BS15)</f>
        <v>0</v>
      </c>
      <c r="BV15" s="84">
        <f t="shared" si="9"/>
        <v>0</v>
      </c>
      <c r="BW15" s="21"/>
      <c r="BX15" s="21"/>
      <c r="BY15" s="21"/>
      <c r="BZ15" s="21"/>
      <c r="CA15" s="25">
        <f t="shared" ref="CA15:CA20" si="20">SUM(BW15:BZ15)</f>
        <v>0</v>
      </c>
    </row>
    <row r="16" spans="1:79" ht="15" x14ac:dyDescent="0.25">
      <c r="A16" s="201"/>
      <c r="B16" s="269" t="e">
        <f>VLOOKUP(A16,Tabeller!$W$15:$Z$23,4,FALSE)</f>
        <v>#N/A</v>
      </c>
      <c r="C16" s="360" t="s">
        <v>55</v>
      </c>
      <c r="D16" s="361"/>
      <c r="E16" s="362"/>
      <c r="F16" s="363"/>
      <c r="G16" s="363"/>
      <c r="H16" s="363"/>
      <c r="I16" s="363"/>
      <c r="J16" s="102">
        <f>SUM(F16:I16)</f>
        <v>0</v>
      </c>
      <c r="K16" s="22">
        <f>SUM(AL16:AO16)</f>
        <v>0</v>
      </c>
      <c r="L16" s="22">
        <f>IFERROR(SUM(AQ16:AT16),0)</f>
        <v>0</v>
      </c>
      <c r="M16" s="22">
        <f>SUM(K16:L16)</f>
        <v>0</v>
      </c>
      <c r="Z16" s="21">
        <f>D16</f>
        <v>0</v>
      </c>
      <c r="AA16" s="21">
        <f>Z16*Tabeller!I$33</f>
        <v>0</v>
      </c>
      <c r="AB16" s="21">
        <f>AA16*Tabeller!$I$35</f>
        <v>0</v>
      </c>
      <c r="AC16" s="21">
        <f t="shared" si="15"/>
        <v>0</v>
      </c>
      <c r="AD16" s="21">
        <f>AC16*Tabeller!$H$24</f>
        <v>0</v>
      </c>
      <c r="AE16" s="21">
        <f>SUM(AC16:AD16,AF16)*Tabeller!$H$25</f>
        <v>0</v>
      </c>
      <c r="AF16" s="21">
        <f>AB16*Tabeller!$H$26</f>
        <v>0</v>
      </c>
      <c r="AG16" s="21">
        <f t="shared" si="16"/>
        <v>0</v>
      </c>
      <c r="AH16" s="21">
        <f>AG16+(Registrering!$E$27)</f>
        <v>465000</v>
      </c>
      <c r="AI16" s="21">
        <f>AH16/Tabeller!$H$3</f>
        <v>270.3488372093023</v>
      </c>
      <c r="AL16" s="184">
        <f>((F16*Budsjett!$AG16))</f>
        <v>0</v>
      </c>
      <c r="AM16" s="21">
        <f>((G16*Budsjett!$AG16)*(Tabeller!J$33))</f>
        <v>0</v>
      </c>
      <c r="AN16" s="21">
        <f>((H16*Budsjett!$AG16)*(Tabeller!J$33*Tabeller!J$34))</f>
        <v>0</v>
      </c>
      <c r="AO16" s="21">
        <f>((I16*Budsjett!$AG16)*(Tabeller!J$33*Tabeller!J$34*Tabeller!J$34))</f>
        <v>0</v>
      </c>
      <c r="AQ16" s="21">
        <f>IFERROR(AL16*Budsjett!$G$54,0)</f>
        <v>0</v>
      </c>
      <c r="AR16" s="21">
        <f>IFERROR(AM16*Budsjett!$G$54,0)</f>
        <v>0</v>
      </c>
      <c r="AS16" s="21">
        <f>IFERROR(AN16*Budsjett!$G$54,0)</f>
        <v>0</v>
      </c>
      <c r="AT16" s="21">
        <f>IFERROR(AO16*Budsjett!$G$54,0)</f>
        <v>0</v>
      </c>
      <c r="AW16" s="235">
        <f>IFERROR(AL16*Budsjett!AW$55,0)</f>
        <v>0</v>
      </c>
      <c r="AX16" s="235">
        <f>IFERROR(AM16*Budsjett!AX$55,0)</f>
        <v>0</v>
      </c>
      <c r="AY16" s="235">
        <f>IFERROR(AN16*Budsjett!AY$55,0)</f>
        <v>0</v>
      </c>
      <c r="AZ16" s="235">
        <f>IFERROR(AO16*Budsjett!AZ$55,0)</f>
        <v>0</v>
      </c>
      <c r="BC16" s="21">
        <f t="shared" si="17"/>
        <v>0</v>
      </c>
      <c r="BD16" s="21">
        <f t="shared" si="17"/>
        <v>0</v>
      </c>
      <c r="BE16" s="21">
        <f t="shared" si="17"/>
        <v>0</v>
      </c>
      <c r="BF16" s="21">
        <f t="shared" si="17"/>
        <v>0</v>
      </c>
      <c r="BO16" s="84">
        <f t="shared" si="6"/>
        <v>0</v>
      </c>
      <c r="BP16" s="21">
        <f t="shared" si="18"/>
        <v>0</v>
      </c>
      <c r="BQ16" s="21">
        <f t="shared" si="18"/>
        <v>0</v>
      </c>
      <c r="BR16" s="21">
        <f t="shared" si="18"/>
        <v>0</v>
      </c>
      <c r="BS16" s="21">
        <f t="shared" si="18"/>
        <v>0</v>
      </c>
      <c r="BT16" s="25">
        <f t="shared" si="19"/>
        <v>0</v>
      </c>
      <c r="BV16" s="84">
        <f t="shared" si="9"/>
        <v>0</v>
      </c>
      <c r="BW16" s="21"/>
      <c r="BX16" s="21"/>
      <c r="BY16" s="21"/>
      <c r="BZ16" s="21"/>
      <c r="CA16" s="25">
        <f t="shared" si="20"/>
        <v>0</v>
      </c>
    </row>
    <row r="17" spans="1:79" ht="15" x14ac:dyDescent="0.25">
      <c r="A17" s="201"/>
      <c r="B17" s="269" t="e">
        <f>VLOOKUP(A17,Tabeller!$W$15:$Z$23,4,FALSE)</f>
        <v>#N/A</v>
      </c>
      <c r="C17" s="360" t="s">
        <v>55</v>
      </c>
      <c r="D17" s="361"/>
      <c r="E17" s="362"/>
      <c r="F17" s="363"/>
      <c r="G17" s="363"/>
      <c r="H17" s="363"/>
      <c r="I17" s="363"/>
      <c r="J17" s="102">
        <f>SUM(F17:I17)</f>
        <v>0</v>
      </c>
      <c r="K17" s="22">
        <f>SUM(AL17:AO17)</f>
        <v>0</v>
      </c>
      <c r="L17" s="22">
        <f>IFERROR(SUM(AQ17:AT17),0)</f>
        <v>0</v>
      </c>
      <c r="M17" s="22">
        <f>SUM(K17:L17)</f>
        <v>0</v>
      </c>
      <c r="Z17" s="21">
        <f>D17</f>
        <v>0</v>
      </c>
      <c r="AA17" s="21">
        <f>Z17*Tabeller!I$33</f>
        <v>0</v>
      </c>
      <c r="AB17" s="21">
        <f>AA17*Tabeller!$I$35</f>
        <v>0</v>
      </c>
      <c r="AC17" s="21">
        <f t="shared" si="15"/>
        <v>0</v>
      </c>
      <c r="AD17" s="21">
        <f>AC17*Tabeller!$H$24</f>
        <v>0</v>
      </c>
      <c r="AE17" s="21">
        <f>SUM(AC17:AD17,AF17)*Tabeller!$H$25</f>
        <v>0</v>
      </c>
      <c r="AF17" s="21">
        <f>AB17*Tabeller!$H$26</f>
        <v>0</v>
      </c>
      <c r="AG17" s="21">
        <f t="shared" si="16"/>
        <v>0</v>
      </c>
      <c r="AH17" s="21">
        <f>AG17+(Registrering!$E$27)</f>
        <v>465000</v>
      </c>
      <c r="AI17" s="21">
        <f>AH17/Tabeller!$H$3</f>
        <v>270.3488372093023</v>
      </c>
      <c r="AL17" s="184">
        <f>((F17*Budsjett!$AG17))</f>
        <v>0</v>
      </c>
      <c r="AM17" s="21">
        <f>((G17*Budsjett!$AG17)*(Tabeller!J$33))</f>
        <v>0</v>
      </c>
      <c r="AN17" s="21">
        <f>((H17*Budsjett!$AG17)*(Tabeller!J$33*Tabeller!J$34))</f>
        <v>0</v>
      </c>
      <c r="AO17" s="21">
        <f>((I17*Budsjett!$AG17)*(Tabeller!J$33*Tabeller!J$34*Tabeller!J$34))</f>
        <v>0</v>
      </c>
      <c r="AQ17" s="21">
        <f>IFERROR(AL17*Budsjett!$G$54,0)</f>
        <v>0</v>
      </c>
      <c r="AR17" s="21">
        <f>IFERROR(AM17*Budsjett!$G$54,0)</f>
        <v>0</v>
      </c>
      <c r="AS17" s="21">
        <f>IFERROR(AN17*Budsjett!$G$54,0)</f>
        <v>0</v>
      </c>
      <c r="AT17" s="21">
        <f>IFERROR(AO17*Budsjett!$G$54,0)</f>
        <v>0</v>
      </c>
      <c r="AW17" s="235">
        <f>IFERROR(AL17*Budsjett!AW$55,0)</f>
        <v>0</v>
      </c>
      <c r="AX17" s="235">
        <f>IFERROR(AM17*Budsjett!AX$55,0)</f>
        <v>0</v>
      </c>
      <c r="AY17" s="235">
        <f>IFERROR(AN17*Budsjett!AY$55,0)</f>
        <v>0</v>
      </c>
      <c r="AZ17" s="235">
        <f>IFERROR(AO17*Budsjett!AZ$55,0)</f>
        <v>0</v>
      </c>
      <c r="BC17" s="21">
        <f t="shared" si="17"/>
        <v>0</v>
      </c>
      <c r="BD17" s="21">
        <f t="shared" si="17"/>
        <v>0</v>
      </c>
      <c r="BE17" s="21">
        <f t="shared" si="17"/>
        <v>0</v>
      </c>
      <c r="BF17" s="21">
        <f t="shared" si="17"/>
        <v>0</v>
      </c>
      <c r="BO17" s="84">
        <f t="shared" si="6"/>
        <v>0</v>
      </c>
      <c r="BP17" s="21">
        <f t="shared" si="18"/>
        <v>0</v>
      </c>
      <c r="BQ17" s="21">
        <f t="shared" si="18"/>
        <v>0</v>
      </c>
      <c r="BR17" s="21">
        <f t="shared" si="18"/>
        <v>0</v>
      </c>
      <c r="BS17" s="21">
        <f t="shared" si="18"/>
        <v>0</v>
      </c>
      <c r="BT17" s="25">
        <f t="shared" si="19"/>
        <v>0</v>
      </c>
      <c r="BV17" s="84">
        <f t="shared" si="9"/>
        <v>0</v>
      </c>
      <c r="BW17" s="21"/>
      <c r="BX17" s="21"/>
      <c r="BY17" s="21"/>
      <c r="BZ17" s="21"/>
      <c r="CA17" s="25">
        <f t="shared" si="20"/>
        <v>0</v>
      </c>
    </row>
    <row r="18" spans="1:79" ht="15" x14ac:dyDescent="0.25">
      <c r="A18" s="201"/>
      <c r="B18" s="269" t="e">
        <f>VLOOKUP(A18,Tabeller!$W$15:$Z$23,4,FALSE)</f>
        <v>#N/A</v>
      </c>
      <c r="C18" s="360" t="s">
        <v>55</v>
      </c>
      <c r="D18" s="361"/>
      <c r="E18" s="362"/>
      <c r="F18" s="363"/>
      <c r="G18" s="363"/>
      <c r="H18" s="363"/>
      <c r="I18" s="363"/>
      <c r="J18" s="102">
        <f>SUM(F18:I18)</f>
        <v>0</v>
      </c>
      <c r="K18" s="22">
        <f>SUM(AL18:AO18)</f>
        <v>0</v>
      </c>
      <c r="L18" s="22">
        <f>IFERROR(SUM(AQ18:AT18),0)</f>
        <v>0</v>
      </c>
      <c r="M18" s="22">
        <f>SUM(K18:L18)</f>
        <v>0</v>
      </c>
      <c r="Z18" s="21">
        <f>D18</f>
        <v>0</v>
      </c>
      <c r="AA18" s="21">
        <f>Z18*Tabeller!I$33</f>
        <v>0</v>
      </c>
      <c r="AB18" s="21">
        <f>AA18*Tabeller!$I$35</f>
        <v>0</v>
      </c>
      <c r="AC18" s="21">
        <f t="shared" si="15"/>
        <v>0</v>
      </c>
      <c r="AD18" s="21">
        <f>AC18*Tabeller!$H$24</f>
        <v>0</v>
      </c>
      <c r="AE18" s="21">
        <f>SUM(AC18:AD18,AF18)*Tabeller!$H$25</f>
        <v>0</v>
      </c>
      <c r="AF18" s="21">
        <f>AB18*Tabeller!$H$26</f>
        <v>0</v>
      </c>
      <c r="AG18" s="21">
        <f t="shared" si="16"/>
        <v>0</v>
      </c>
      <c r="AH18" s="21">
        <f>AG18+(Registrering!$E$27)</f>
        <v>465000</v>
      </c>
      <c r="AI18" s="21">
        <f>AH18/Tabeller!$H$3</f>
        <v>270.3488372093023</v>
      </c>
      <c r="AL18" s="184">
        <f>((F18*Budsjett!$AG18))</f>
        <v>0</v>
      </c>
      <c r="AM18" s="21">
        <f>((G18*Budsjett!$AG18)*(Tabeller!J$33))</f>
        <v>0</v>
      </c>
      <c r="AN18" s="21">
        <f>((H18*Budsjett!$AG18)*(Tabeller!J$33*Tabeller!J$34))</f>
        <v>0</v>
      </c>
      <c r="AO18" s="21">
        <f>((I18*Budsjett!$AG18)*(Tabeller!J$33*Tabeller!J$34*Tabeller!J$34))</f>
        <v>0</v>
      </c>
      <c r="AQ18" s="21">
        <f>IFERROR(AL18*Budsjett!$G$54,0)</f>
        <v>0</v>
      </c>
      <c r="AR18" s="21">
        <f>IFERROR(AM18*Budsjett!$G$54,0)</f>
        <v>0</v>
      </c>
      <c r="AS18" s="21">
        <f>IFERROR(AN18*Budsjett!$G$54,0)</f>
        <v>0</v>
      </c>
      <c r="AT18" s="21">
        <f>IFERROR(AO18*Budsjett!$G$54,0)</f>
        <v>0</v>
      </c>
      <c r="AW18" s="235">
        <f>IFERROR(AL18*Budsjett!AW$55,0)</f>
        <v>0</v>
      </c>
      <c r="AX18" s="235">
        <f>IFERROR(AM18*Budsjett!AX$55,0)</f>
        <v>0</v>
      </c>
      <c r="AY18" s="235">
        <f>IFERROR(AN18*Budsjett!AY$55,0)</f>
        <v>0</v>
      </c>
      <c r="AZ18" s="235">
        <f>IFERROR(AO18*Budsjett!AZ$55,0)</f>
        <v>0</v>
      </c>
      <c r="BC18" s="21">
        <f t="shared" si="17"/>
        <v>0</v>
      </c>
      <c r="BD18" s="21">
        <f t="shared" si="17"/>
        <v>0</v>
      </c>
      <c r="BE18" s="21">
        <f t="shared" si="17"/>
        <v>0</v>
      </c>
      <c r="BF18" s="21">
        <f t="shared" si="17"/>
        <v>0</v>
      </c>
      <c r="BO18" s="84">
        <f t="shared" si="6"/>
        <v>0</v>
      </c>
      <c r="BP18" s="21">
        <f t="shared" si="18"/>
        <v>0</v>
      </c>
      <c r="BQ18" s="21">
        <f t="shared" si="18"/>
        <v>0</v>
      </c>
      <c r="BR18" s="21">
        <f t="shared" si="18"/>
        <v>0</v>
      </c>
      <c r="BS18" s="21">
        <f t="shared" si="18"/>
        <v>0</v>
      </c>
      <c r="BT18" s="25">
        <f t="shared" si="19"/>
        <v>0</v>
      </c>
      <c r="BV18" s="84">
        <f t="shared" si="9"/>
        <v>0</v>
      </c>
      <c r="BW18" s="21"/>
      <c r="BX18" s="21"/>
      <c r="BY18" s="21"/>
      <c r="BZ18" s="21"/>
      <c r="CA18" s="25">
        <f t="shared" si="20"/>
        <v>0</v>
      </c>
    </row>
    <row r="19" spans="1:79" ht="15" x14ac:dyDescent="0.25">
      <c r="A19" s="201"/>
      <c r="B19" s="269" t="e">
        <f>VLOOKUP(A19,Tabeller!$W$15:$Z$23,4,FALSE)</f>
        <v>#N/A</v>
      </c>
      <c r="C19" s="360" t="s">
        <v>55</v>
      </c>
      <c r="D19" s="361"/>
      <c r="E19" s="362"/>
      <c r="F19" s="363"/>
      <c r="G19" s="363"/>
      <c r="H19" s="363"/>
      <c r="I19" s="363"/>
      <c r="J19" s="102">
        <f>SUM(F19:I19)</f>
        <v>0</v>
      </c>
      <c r="K19" s="22">
        <f>SUM(AL19:AO19)</f>
        <v>0</v>
      </c>
      <c r="L19" s="22">
        <f>IFERROR(SUM(AQ19:AT19),0)</f>
        <v>0</v>
      </c>
      <c r="M19" s="22">
        <f>SUM(K19:L19)</f>
        <v>0</v>
      </c>
      <c r="Z19" s="21">
        <f>D19</f>
        <v>0</v>
      </c>
      <c r="AA19" s="21">
        <f>Z19*Tabeller!I$33</f>
        <v>0</v>
      </c>
      <c r="AB19" s="21">
        <f>AA19*Tabeller!$I$35</f>
        <v>0</v>
      </c>
      <c r="AC19" s="21">
        <f t="shared" si="15"/>
        <v>0</v>
      </c>
      <c r="AD19" s="21">
        <f>AC19*Tabeller!$H$24</f>
        <v>0</v>
      </c>
      <c r="AE19" s="21">
        <f>SUM(AC19:AD19,AF19)*Tabeller!$H$25</f>
        <v>0</v>
      </c>
      <c r="AF19" s="21">
        <f>AB19*Tabeller!$H$26</f>
        <v>0</v>
      </c>
      <c r="AG19" s="21">
        <f t="shared" si="16"/>
        <v>0</v>
      </c>
      <c r="AH19" s="21">
        <f>AG19+(Registrering!$E$27)</f>
        <v>465000</v>
      </c>
      <c r="AI19" s="21">
        <f>AH19/Tabeller!$H$3</f>
        <v>270.3488372093023</v>
      </c>
      <c r="AL19" s="184">
        <f>((F19*Budsjett!$AG19))</f>
        <v>0</v>
      </c>
      <c r="AM19" s="21">
        <f>((G19*Budsjett!$AG19)*(Tabeller!J$33))</f>
        <v>0</v>
      </c>
      <c r="AN19" s="21">
        <f>((H19*Budsjett!$AG19)*(Tabeller!J$33*Tabeller!J$34))</f>
        <v>0</v>
      </c>
      <c r="AO19" s="21">
        <f>((I19*Budsjett!$AG19)*(Tabeller!J$33*Tabeller!J$34*Tabeller!J$34))</f>
        <v>0</v>
      </c>
      <c r="AQ19" s="21">
        <f>IFERROR(AL19*Budsjett!$G$54,0)</f>
        <v>0</v>
      </c>
      <c r="AR19" s="21">
        <f>IFERROR(AM19*Budsjett!$G$54,0)</f>
        <v>0</v>
      </c>
      <c r="AS19" s="21">
        <f>IFERROR(AN19*Budsjett!$G$54,0)</f>
        <v>0</v>
      </c>
      <c r="AT19" s="21">
        <f>IFERROR(AO19*Budsjett!$G$54,0)</f>
        <v>0</v>
      </c>
      <c r="AW19" s="235">
        <f>IFERROR(AL19*Budsjett!AW$55,0)</f>
        <v>0</v>
      </c>
      <c r="AX19" s="235">
        <f>IFERROR(AM19*Budsjett!AX$55,0)</f>
        <v>0</v>
      </c>
      <c r="AY19" s="235">
        <f>IFERROR(AN19*Budsjett!AY$55,0)</f>
        <v>0</v>
      </c>
      <c r="AZ19" s="235">
        <f>IFERROR(AO19*Budsjett!AZ$55,0)</f>
        <v>0</v>
      </c>
      <c r="BC19" s="21">
        <f t="shared" si="17"/>
        <v>0</v>
      </c>
      <c r="BD19" s="21">
        <f t="shared" si="17"/>
        <v>0</v>
      </c>
      <c r="BE19" s="21">
        <f t="shared" si="17"/>
        <v>0</v>
      </c>
      <c r="BF19" s="21">
        <f t="shared" si="17"/>
        <v>0</v>
      </c>
      <c r="BO19" s="84">
        <f t="shared" si="6"/>
        <v>0</v>
      </c>
      <c r="BP19" s="21">
        <f t="shared" si="18"/>
        <v>0</v>
      </c>
      <c r="BQ19" s="21">
        <f t="shared" si="18"/>
        <v>0</v>
      </c>
      <c r="BR19" s="21">
        <f t="shared" si="18"/>
        <v>0</v>
      </c>
      <c r="BS19" s="21">
        <f t="shared" si="18"/>
        <v>0</v>
      </c>
      <c r="BT19" s="25">
        <f t="shared" si="19"/>
        <v>0</v>
      </c>
      <c r="BV19" s="84">
        <f t="shared" si="9"/>
        <v>0</v>
      </c>
      <c r="BW19" s="21"/>
      <c r="BX19" s="21"/>
      <c r="BY19" s="21"/>
      <c r="BZ19" s="21"/>
      <c r="CA19" s="25">
        <f t="shared" si="20"/>
        <v>0</v>
      </c>
    </row>
    <row r="20" spans="1:79" ht="15" x14ac:dyDescent="0.25">
      <c r="A20" s="31" t="s">
        <v>45</v>
      </c>
      <c r="B20" s="31"/>
      <c r="C20" s="31"/>
      <c r="D20" s="31"/>
      <c r="E20" s="32"/>
      <c r="F20" s="100">
        <f t="shared" ref="F20:M20" si="21">SUM(F15:F19)</f>
        <v>0</v>
      </c>
      <c r="G20" s="100">
        <f t="shared" si="21"/>
        <v>0</v>
      </c>
      <c r="H20" s="100">
        <f t="shared" si="21"/>
        <v>0</v>
      </c>
      <c r="I20" s="100">
        <f t="shared" si="21"/>
        <v>0</v>
      </c>
      <c r="J20" s="101">
        <f t="shared" si="21"/>
        <v>0</v>
      </c>
      <c r="K20" s="38">
        <f t="shared" si="21"/>
        <v>0</v>
      </c>
      <c r="L20" s="38">
        <f t="shared" si="21"/>
        <v>0</v>
      </c>
      <c r="M20" s="38">
        <f t="shared" si="21"/>
        <v>0</v>
      </c>
      <c r="AL20" s="25">
        <f>SUM(AL15:AL19)</f>
        <v>0</v>
      </c>
      <c r="AM20" s="25">
        <f>SUM(AM15:AM19)</f>
        <v>0</v>
      </c>
      <c r="AN20" s="25">
        <f>SUM(AN15:AN19)</f>
        <v>0</v>
      </c>
      <c r="AO20" s="25">
        <f>SUM(AO15:AO19)</f>
        <v>0</v>
      </c>
      <c r="AP20" s="58">
        <f>SUM(AL20:AO20)</f>
        <v>0</v>
      </c>
      <c r="AQ20" s="25">
        <f>SUM(AQ15:AQ19)</f>
        <v>0</v>
      </c>
      <c r="AR20" s="25">
        <f>SUM(AR15:AR19)</f>
        <v>0</v>
      </c>
      <c r="AS20" s="25">
        <f>SUM(AS15:AS19)</f>
        <v>0</v>
      </c>
      <c r="AT20" s="25">
        <f>SUM(AT15:AT19)</f>
        <v>0</v>
      </c>
      <c r="AU20" s="58">
        <f>SUM(AQ20:AT20)</f>
        <v>0</v>
      </c>
      <c r="AW20" s="25">
        <f>SUM(AW15:AW19)</f>
        <v>0</v>
      </c>
      <c r="AX20" s="25">
        <f>SUM(AX15:AX19)</f>
        <v>0</v>
      </c>
      <c r="AY20" s="25">
        <f>SUM(AY15:AY19)</f>
        <v>0</v>
      </c>
      <c r="AZ20" s="25">
        <f>SUM(AZ15:AZ19)</f>
        <v>0</v>
      </c>
      <c r="BA20" s="58">
        <f>SUM(AW20:AZ20)</f>
        <v>0</v>
      </c>
      <c r="BB20" s="58"/>
      <c r="BC20" s="25">
        <f>SUM(BC15:BC19)</f>
        <v>0</v>
      </c>
      <c r="BD20" s="25">
        <f>SUM(BD15:BD19)</f>
        <v>0</v>
      </c>
      <c r="BE20" s="25">
        <f>SUM(BE15:BE19)</f>
        <v>0</v>
      </c>
      <c r="BF20" s="25">
        <f>SUM(BF15:BF19)</f>
        <v>0</v>
      </c>
      <c r="BG20" s="58"/>
      <c r="BO20" s="84" t="str">
        <f t="shared" si="6"/>
        <v>Sum</v>
      </c>
      <c r="BP20" s="25">
        <f>SUM(BP15:BP19)</f>
        <v>0</v>
      </c>
      <c r="BQ20" s="25">
        <f>SUM(BQ15:BQ19)</f>
        <v>0</v>
      </c>
      <c r="BR20" s="25">
        <f>SUM(BR15:BR19)</f>
        <v>0</v>
      </c>
      <c r="BS20" s="25">
        <f>SUM(BS15:BS19)</f>
        <v>0</v>
      </c>
      <c r="BT20" s="25">
        <f t="shared" si="19"/>
        <v>0</v>
      </c>
      <c r="BV20" s="84" t="str">
        <f t="shared" si="9"/>
        <v>Sum</v>
      </c>
      <c r="BW20" s="25">
        <f>SUM(BW15:BW19)</f>
        <v>0</v>
      </c>
      <c r="BX20" s="25">
        <f>SUM(BX15:BX19)</f>
        <v>0</v>
      </c>
      <c r="BY20" s="25">
        <f>SUM(BY15:BY19)</f>
        <v>0</v>
      </c>
      <c r="BZ20" s="25">
        <f>SUM(BZ15:BZ19)</f>
        <v>0</v>
      </c>
      <c r="CA20" s="25">
        <f t="shared" si="20"/>
        <v>0</v>
      </c>
    </row>
    <row r="21" spans="1:79" ht="21" x14ac:dyDescent="0.35">
      <c r="A21" s="55" t="s">
        <v>87</v>
      </c>
      <c r="B21" s="55"/>
      <c r="C21" s="49"/>
      <c r="D21" s="49"/>
      <c r="E21" s="23"/>
      <c r="F21" s="57" t="s">
        <v>58</v>
      </c>
      <c r="G21" s="23"/>
      <c r="H21" s="23"/>
      <c r="I21" s="23"/>
      <c r="J21" s="23"/>
      <c r="K21" s="23"/>
      <c r="L21" s="23"/>
      <c r="M21" s="23"/>
      <c r="W21" s="23"/>
      <c r="X21" s="23"/>
      <c r="Y21" s="23"/>
      <c r="Z21" s="23"/>
      <c r="AA21" s="23"/>
      <c r="AC21" s="23"/>
      <c r="AD21" s="23"/>
      <c r="AE21" s="23"/>
      <c r="AF21" s="23"/>
      <c r="AG21" s="23"/>
      <c r="AH21" s="23"/>
      <c r="AI21" s="23"/>
      <c r="AJ21" s="23"/>
      <c r="AK21" s="23"/>
      <c r="AL21" s="23"/>
      <c r="AM21" s="23"/>
      <c r="AN21" s="23"/>
      <c r="AO21" s="23"/>
      <c r="AQ21" s="23"/>
      <c r="AR21" s="23"/>
      <c r="AS21" s="23"/>
      <c r="AT21" s="23"/>
      <c r="AW21" s="23"/>
      <c r="AX21" s="23"/>
      <c r="AY21" s="23"/>
      <c r="AZ21" s="23"/>
      <c r="BO21" s="84" t="str">
        <f t="shared" si="6"/>
        <v>Eksisterende ansatte - dekkes av UiO (egenandel)</v>
      </c>
      <c r="BV21" s="84" t="str">
        <f t="shared" si="9"/>
        <v>Eksisterende ansatte - dekkes av UiO (egenandel)</v>
      </c>
    </row>
    <row r="22" spans="1:79" ht="15" x14ac:dyDescent="0.25">
      <c r="A22" s="85" t="s">
        <v>88</v>
      </c>
      <c r="B22" s="85"/>
      <c r="C22" s="85"/>
      <c r="D22" s="85" t="s">
        <v>64</v>
      </c>
      <c r="E22" s="85" t="s">
        <v>44</v>
      </c>
      <c r="F22" s="86" t="str">
        <f>F14</f>
        <v>Periode 1 (1-18 month)</v>
      </c>
      <c r="G22" s="86" t="str">
        <f>G14</f>
        <v>Periode 2 (19-36 month)</v>
      </c>
      <c r="H22" s="86" t="str">
        <f>H14</f>
        <v>Periode 3 (37-54 month)</v>
      </c>
      <c r="I22" s="86" t="str">
        <f>I14</f>
        <v>Periode 4 (55-60 (72) month)</v>
      </c>
      <c r="J22" s="87" t="s">
        <v>45</v>
      </c>
      <c r="K22" s="87" t="s">
        <v>70</v>
      </c>
      <c r="L22" s="87" t="s">
        <v>71</v>
      </c>
      <c r="M22" s="87" t="s">
        <v>72</v>
      </c>
      <c r="Z22" s="59" t="s">
        <v>73</v>
      </c>
      <c r="AA22" s="60" t="s">
        <v>74</v>
      </c>
      <c r="AB22" s="60" t="s">
        <v>75</v>
      </c>
      <c r="AC22" s="60" t="s">
        <v>76</v>
      </c>
      <c r="AD22" s="60" t="s">
        <v>77</v>
      </c>
      <c r="AE22" s="60" t="s">
        <v>78</v>
      </c>
      <c r="AF22" s="60" t="s">
        <v>79</v>
      </c>
      <c r="AG22" s="60" t="s">
        <v>80</v>
      </c>
      <c r="AH22" s="60" t="s">
        <v>81</v>
      </c>
      <c r="AI22" s="60" t="s">
        <v>82</v>
      </c>
      <c r="AL22" s="25" t="str">
        <f>F22</f>
        <v>Periode 1 (1-18 month)</v>
      </c>
      <c r="AM22" s="25" t="str">
        <f>G22</f>
        <v>Periode 2 (19-36 month)</v>
      </c>
      <c r="AN22" s="25" t="str">
        <f>H22</f>
        <v>Periode 3 (37-54 month)</v>
      </c>
      <c r="AO22" s="25" t="str">
        <f>I22</f>
        <v>Periode 4 (55-60 (72) month)</v>
      </c>
      <c r="AQ22" s="21" t="str">
        <f>AL22</f>
        <v>Periode 1 (1-18 month)</v>
      </c>
      <c r="AR22" s="21" t="str">
        <f>AM22</f>
        <v>Periode 2 (19-36 month)</v>
      </c>
      <c r="AS22" s="21" t="str">
        <f>AN22</f>
        <v>Periode 3 (37-54 month)</v>
      </c>
      <c r="AT22" s="21" t="str">
        <f>AO22</f>
        <v>Periode 4 (55-60 (72) month)</v>
      </c>
      <c r="AW22" s="25" t="str">
        <f>AQ22</f>
        <v>Periode 1 (1-18 month)</v>
      </c>
      <c r="AX22" s="25" t="str">
        <f>AR22</f>
        <v>Periode 2 (19-36 month)</v>
      </c>
      <c r="AY22" s="25" t="str">
        <f>AS22</f>
        <v>Periode 3 (37-54 month)</v>
      </c>
      <c r="AZ22" s="25" t="str">
        <f>AT22</f>
        <v>Periode 4 (55-60 (72) month)</v>
      </c>
      <c r="BC22" s="25" t="str">
        <f>F3</f>
        <v>Periode 1 (1-18 month)</v>
      </c>
      <c r="BD22" s="25" t="str">
        <f>G3</f>
        <v>Periode 2 (19-36 month)</v>
      </c>
      <c r="BE22" s="25" t="str">
        <f>H3</f>
        <v>Periode 3 (37-54 month)</v>
      </c>
      <c r="BF22" s="25" t="str">
        <f>I3</f>
        <v>Periode 4 (55-60 (72) month)</v>
      </c>
      <c r="BO22" s="84" t="str">
        <f t="shared" si="6"/>
        <v>Frikjøp art 5896</v>
      </c>
      <c r="BP22" s="25" t="str">
        <f>BP14</f>
        <v>Periode 1 (1-18 month)</v>
      </c>
      <c r="BQ22" s="25" t="str">
        <f>BQ14</f>
        <v>Periode 2 (19-36 month)</v>
      </c>
      <c r="BR22" s="25" t="str">
        <f>BR14</f>
        <v>Periode 3 (37-54 month)</v>
      </c>
      <c r="BS22" s="25" t="str">
        <f>BS14</f>
        <v>Periode 4 (55-60 (72) month)</v>
      </c>
      <c r="BT22" s="25" t="str">
        <f>BT14</f>
        <v>Sum årsv</v>
      </c>
      <c r="BV22" s="84" t="str">
        <f t="shared" si="9"/>
        <v>Frikjøp art 5896</v>
      </c>
      <c r="BW22" s="25" t="str">
        <f>BW14</f>
        <v>Periode 1 (1-18 month)</v>
      </c>
      <c r="BX22" s="25" t="str">
        <f>BX14</f>
        <v>Periode 2 (19-36 month)</v>
      </c>
      <c r="BY22" s="25" t="str">
        <f>BY14</f>
        <v>Periode 3 (37-54 month)</v>
      </c>
      <c r="BZ22" s="25" t="str">
        <f>BZ14</f>
        <v>Periode 4 (55-60 (72) month)</v>
      </c>
      <c r="CA22" s="25" t="str">
        <f>CA14</f>
        <v>Sum årsv</v>
      </c>
    </row>
    <row r="23" spans="1:79" ht="15" x14ac:dyDescent="0.25">
      <c r="A23" s="98"/>
      <c r="B23" s="24" t="e">
        <f>VLOOKUP(A23,Tabeller!$W$15:$Z$23,4,FALSE)</f>
        <v>#N/A</v>
      </c>
      <c r="C23" s="135" t="s">
        <v>56</v>
      </c>
      <c r="D23" s="361"/>
      <c r="E23" s="362"/>
      <c r="F23" s="366"/>
      <c r="G23" s="366"/>
      <c r="H23" s="366"/>
      <c r="I23" s="366"/>
      <c r="J23" s="102">
        <f>SUM(F23:I23)</f>
        <v>0</v>
      </c>
      <c r="K23" s="22">
        <f>SUM(AL23:AO23)</f>
        <v>0</v>
      </c>
      <c r="L23" s="22">
        <f>IFERROR(SUM(AQ23:AT23),0)</f>
        <v>0</v>
      </c>
      <c r="M23" s="22">
        <f>SUM(K23:L23)</f>
        <v>0</v>
      </c>
      <c r="Z23" s="21">
        <f>D23</f>
        <v>0</v>
      </c>
      <c r="AA23" s="21">
        <f>Z23*Tabeller!I$33</f>
        <v>0</v>
      </c>
      <c r="AB23" s="21">
        <f>AA23*Tabeller!$I$35</f>
        <v>0</v>
      </c>
      <c r="AC23" s="21">
        <f t="shared" ref="AC23:AC27" si="22">IF(AA23&gt;0,(AB23-400)/52*47,0)</f>
        <v>0</v>
      </c>
      <c r="AD23" s="21">
        <f>AC23*Tabeller!$H$24</f>
        <v>0</v>
      </c>
      <c r="AE23" s="21">
        <f>SUM(AC23:AD23,AF23)*Tabeller!$H$25</f>
        <v>0</v>
      </c>
      <c r="AF23" s="21">
        <f>AB23*Tabeller!$H$26</f>
        <v>0</v>
      </c>
      <c r="AG23" s="21">
        <f t="shared" ref="AG23:AG27" si="23">SUM(AC23:AF23)</f>
        <v>0</v>
      </c>
      <c r="AH23" s="21">
        <f>AG23+(Registrering!$E$27)</f>
        <v>465000</v>
      </c>
      <c r="AI23" s="21">
        <f>AH23/Tabeller!$H$3</f>
        <v>270.3488372093023</v>
      </c>
      <c r="AL23" s="21">
        <f>((F23*Budsjett!$AG23))</f>
        <v>0</v>
      </c>
      <c r="AM23" s="21">
        <f>((G23*Budsjett!$AG23)*(Tabeller!J$33))</f>
        <v>0</v>
      </c>
      <c r="AN23" s="21">
        <f>((H23*Budsjett!$AG23)*(Tabeller!J$33*Tabeller!J$34))</f>
        <v>0</v>
      </c>
      <c r="AO23" s="21">
        <f>((I23*Budsjett!$AG23)*(Tabeller!J$33*Tabeller!J$34*Tabeller!J$34))</f>
        <v>0</v>
      </c>
      <c r="AQ23" s="21">
        <f>IFERROR(AL23*Budsjett!$G$54,0)</f>
        <v>0</v>
      </c>
      <c r="AR23" s="21">
        <f>IFERROR(AM23*Budsjett!$G$54,0)</f>
        <v>0</v>
      </c>
      <c r="AS23" s="21">
        <f>IFERROR(AN23*Budsjett!$G$54,0)</f>
        <v>0</v>
      </c>
      <c r="AT23" s="21">
        <f>IFERROR(AO23*Budsjett!$G$54,0)</f>
        <v>0</v>
      </c>
      <c r="AW23" s="21"/>
      <c r="AX23" s="21"/>
      <c r="AY23" s="21"/>
      <c r="AZ23" s="21"/>
      <c r="BC23" s="21">
        <f t="shared" ref="BC23:BF27" si="24">AQ23</f>
        <v>0</v>
      </c>
      <c r="BD23" s="21">
        <f t="shared" si="24"/>
        <v>0</v>
      </c>
      <c r="BE23" s="21">
        <f t="shared" si="24"/>
        <v>0</v>
      </c>
      <c r="BF23" s="21">
        <f t="shared" si="24"/>
        <v>0</v>
      </c>
      <c r="BO23" s="84">
        <f t="shared" si="6"/>
        <v>0</v>
      </c>
      <c r="BP23" s="21"/>
      <c r="BQ23" s="21"/>
      <c r="BR23" s="21"/>
      <c r="BS23" s="21"/>
      <c r="BT23" s="25">
        <f t="shared" ref="BT23:BT28" si="25">SUM(BP23:BS23)</f>
        <v>0</v>
      </c>
      <c r="BV23" s="84">
        <f t="shared" si="9"/>
        <v>0</v>
      </c>
      <c r="BW23" s="21">
        <f t="shared" ref="BW23:BZ27" si="26">IF($C23=$BV$1,AL23,0)</f>
        <v>0</v>
      </c>
      <c r="BX23" s="21">
        <f t="shared" si="26"/>
        <v>0</v>
      </c>
      <c r="BY23" s="21">
        <f t="shared" si="26"/>
        <v>0</v>
      </c>
      <c r="BZ23" s="21">
        <f t="shared" si="26"/>
        <v>0</v>
      </c>
      <c r="CA23" s="25">
        <f t="shared" ref="CA23:CA28" si="27">SUM(BW23:BZ23)</f>
        <v>0</v>
      </c>
    </row>
    <row r="24" spans="1:79" ht="15" x14ac:dyDescent="0.25">
      <c r="A24" s="98"/>
      <c r="B24" s="24" t="e">
        <f>VLOOKUP(A24,Tabeller!$W$15:$Z$23,4,FALSE)</f>
        <v>#N/A</v>
      </c>
      <c r="C24" s="135" t="s">
        <v>56</v>
      </c>
      <c r="D24" s="361"/>
      <c r="E24" s="362"/>
      <c r="F24" s="366"/>
      <c r="G24" s="366"/>
      <c r="H24" s="366"/>
      <c r="I24" s="366"/>
      <c r="J24" s="102">
        <f>SUM(F24:I24)</f>
        <v>0</v>
      </c>
      <c r="K24" s="22">
        <f>SUM(AL24:AO24)</f>
        <v>0</v>
      </c>
      <c r="L24" s="22">
        <f>IFERROR(SUM(AQ24:AT24),0)</f>
        <v>0</v>
      </c>
      <c r="M24" s="22">
        <f>SUM(K24:L24)</f>
        <v>0</v>
      </c>
      <c r="Z24" s="21">
        <f>D24</f>
        <v>0</v>
      </c>
      <c r="AA24" s="21">
        <f>Z24*Tabeller!I$33</f>
        <v>0</v>
      </c>
      <c r="AB24" s="21">
        <f>AA24*Tabeller!$I$35</f>
        <v>0</v>
      </c>
      <c r="AC24" s="21">
        <f t="shared" si="22"/>
        <v>0</v>
      </c>
      <c r="AD24" s="21">
        <f>AC24*Tabeller!$H$24</f>
        <v>0</v>
      </c>
      <c r="AE24" s="21">
        <f>SUM(AC24:AD24,AF24)*Tabeller!$H$25</f>
        <v>0</v>
      </c>
      <c r="AF24" s="21">
        <f>AB24*Tabeller!$H$26</f>
        <v>0</v>
      </c>
      <c r="AG24" s="21">
        <f t="shared" si="23"/>
        <v>0</v>
      </c>
      <c r="AH24" s="21">
        <f>AG24+(Registrering!$E$27)</f>
        <v>465000</v>
      </c>
      <c r="AI24" s="21">
        <f>AH24/Tabeller!$H$3</f>
        <v>270.3488372093023</v>
      </c>
      <c r="AL24" s="21">
        <f>((F24*Budsjett!$AG24))</f>
        <v>0</v>
      </c>
      <c r="AM24" s="21">
        <f>((G24*Budsjett!$AG24)*(Tabeller!J$33))</f>
        <v>0</v>
      </c>
      <c r="AN24" s="21">
        <f>((H24*Budsjett!$AG24)*(Tabeller!J$33*Tabeller!J$34))</f>
        <v>0</v>
      </c>
      <c r="AO24" s="21">
        <f>((I24*Budsjett!$AG24)*(Tabeller!J$33*Tabeller!J$34*Tabeller!J$34))</f>
        <v>0</v>
      </c>
      <c r="AQ24" s="21">
        <f>IFERROR(AL24*Budsjett!$G$54,0)</f>
        <v>0</v>
      </c>
      <c r="AR24" s="21">
        <f>IFERROR(AM24*Budsjett!$G$54,0)</f>
        <v>0</v>
      </c>
      <c r="AS24" s="21">
        <f>IFERROR(AN24*Budsjett!$G$54,0)</f>
        <v>0</v>
      </c>
      <c r="AT24" s="21">
        <f>IFERROR(AO24*Budsjett!$G$54,0)</f>
        <v>0</v>
      </c>
      <c r="AW24" s="21"/>
      <c r="AX24" s="21"/>
      <c r="AY24" s="21"/>
      <c r="AZ24" s="21"/>
      <c r="BC24" s="21">
        <f t="shared" si="24"/>
        <v>0</v>
      </c>
      <c r="BD24" s="21">
        <f t="shared" si="24"/>
        <v>0</v>
      </c>
      <c r="BE24" s="21">
        <f t="shared" si="24"/>
        <v>0</v>
      </c>
      <c r="BF24" s="21">
        <f t="shared" si="24"/>
        <v>0</v>
      </c>
      <c r="BO24" s="84">
        <f t="shared" si="6"/>
        <v>0</v>
      </c>
      <c r="BP24" s="21"/>
      <c r="BQ24" s="21"/>
      <c r="BR24" s="21"/>
      <c r="BS24" s="21"/>
      <c r="BT24" s="25">
        <f t="shared" si="25"/>
        <v>0</v>
      </c>
      <c r="BV24" s="84">
        <f t="shared" si="9"/>
        <v>0</v>
      </c>
      <c r="BW24" s="21">
        <f t="shared" si="26"/>
        <v>0</v>
      </c>
      <c r="BX24" s="21">
        <f t="shared" si="26"/>
        <v>0</v>
      </c>
      <c r="BY24" s="21">
        <f t="shared" si="26"/>
        <v>0</v>
      </c>
      <c r="BZ24" s="21">
        <f t="shared" si="26"/>
        <v>0</v>
      </c>
      <c r="CA24" s="25">
        <f t="shared" si="27"/>
        <v>0</v>
      </c>
    </row>
    <row r="25" spans="1:79" ht="15" x14ac:dyDescent="0.25">
      <c r="A25" s="98"/>
      <c r="B25" s="24" t="e">
        <f>VLOOKUP(A25,Tabeller!$W$15:$Z$23,4,FALSE)</f>
        <v>#N/A</v>
      </c>
      <c r="C25" s="135" t="s">
        <v>56</v>
      </c>
      <c r="D25" s="361"/>
      <c r="E25" s="362"/>
      <c r="F25" s="366"/>
      <c r="G25" s="366"/>
      <c r="H25" s="366"/>
      <c r="I25" s="366"/>
      <c r="J25" s="102">
        <f>SUM(F25:I25)</f>
        <v>0</v>
      </c>
      <c r="K25" s="22">
        <f>SUM(AL25:AO25)</f>
        <v>0</v>
      </c>
      <c r="L25" s="22">
        <f>IFERROR(SUM(AQ25:AT25),0)</f>
        <v>0</v>
      </c>
      <c r="M25" s="22">
        <f>SUM(K25:L25)</f>
        <v>0</v>
      </c>
      <c r="Z25" s="21">
        <f>D25</f>
        <v>0</v>
      </c>
      <c r="AA25" s="21">
        <f>Z25*Tabeller!I$33</f>
        <v>0</v>
      </c>
      <c r="AB25" s="21">
        <f>AA25*Tabeller!$I$35</f>
        <v>0</v>
      </c>
      <c r="AC25" s="21">
        <f t="shared" si="22"/>
        <v>0</v>
      </c>
      <c r="AD25" s="21">
        <f>AC25*Tabeller!$H$24</f>
        <v>0</v>
      </c>
      <c r="AE25" s="21">
        <f>SUM(AC25:AD25,AF25)*Tabeller!$H$25</f>
        <v>0</v>
      </c>
      <c r="AF25" s="21">
        <f>AB25*Tabeller!$H$26</f>
        <v>0</v>
      </c>
      <c r="AG25" s="21">
        <f t="shared" si="23"/>
        <v>0</v>
      </c>
      <c r="AH25" s="21">
        <f>AG25+(Registrering!$E$27)</f>
        <v>465000</v>
      </c>
      <c r="AI25" s="21">
        <f>AH25/Tabeller!$H$3</f>
        <v>270.3488372093023</v>
      </c>
      <c r="AL25" s="21">
        <f>((F25*Budsjett!$AG25))</f>
        <v>0</v>
      </c>
      <c r="AM25" s="21">
        <f>((G25*Budsjett!$AG25)*(Tabeller!J$33))</f>
        <v>0</v>
      </c>
      <c r="AN25" s="21">
        <f>((H25*Budsjett!$AG25)*(Tabeller!J$33*Tabeller!J$34))</f>
        <v>0</v>
      </c>
      <c r="AO25" s="21">
        <f>((I25*Budsjett!$AG25)*(Tabeller!J$33*Tabeller!J$34*Tabeller!J$34))</f>
        <v>0</v>
      </c>
      <c r="AQ25" s="21">
        <f>IFERROR(AL25*Budsjett!$G$54,0)</f>
        <v>0</v>
      </c>
      <c r="AR25" s="21">
        <f>IFERROR(AM25*Budsjett!$G$54,0)</f>
        <v>0</v>
      </c>
      <c r="AS25" s="21">
        <f>IFERROR(AN25*Budsjett!$G$54,0)</f>
        <v>0</v>
      </c>
      <c r="AT25" s="21">
        <f>IFERROR(AO25*Budsjett!$G$54,0)</f>
        <v>0</v>
      </c>
      <c r="AW25" s="21"/>
      <c r="AX25" s="21"/>
      <c r="AY25" s="21"/>
      <c r="AZ25" s="21"/>
      <c r="BC25" s="21">
        <f t="shared" si="24"/>
        <v>0</v>
      </c>
      <c r="BD25" s="21">
        <f t="shared" si="24"/>
        <v>0</v>
      </c>
      <c r="BE25" s="21">
        <f t="shared" si="24"/>
        <v>0</v>
      </c>
      <c r="BF25" s="21">
        <f t="shared" si="24"/>
        <v>0</v>
      </c>
      <c r="BO25" s="84">
        <f t="shared" si="6"/>
        <v>0</v>
      </c>
      <c r="BP25" s="21"/>
      <c r="BQ25" s="21"/>
      <c r="BR25" s="21"/>
      <c r="BS25" s="21"/>
      <c r="BT25" s="25">
        <f t="shared" si="25"/>
        <v>0</v>
      </c>
      <c r="BV25" s="84">
        <f t="shared" si="9"/>
        <v>0</v>
      </c>
      <c r="BW25" s="21">
        <f t="shared" si="26"/>
        <v>0</v>
      </c>
      <c r="BX25" s="21">
        <f t="shared" si="26"/>
        <v>0</v>
      </c>
      <c r="BY25" s="21">
        <f t="shared" si="26"/>
        <v>0</v>
      </c>
      <c r="BZ25" s="21">
        <f t="shared" si="26"/>
        <v>0</v>
      </c>
      <c r="CA25" s="25">
        <f t="shared" si="27"/>
        <v>0</v>
      </c>
    </row>
    <row r="26" spans="1:79" ht="15" x14ac:dyDescent="0.25">
      <c r="A26" s="98"/>
      <c r="B26" s="24" t="e">
        <f>VLOOKUP(A26,Tabeller!$W$15:$Z$23,4,FALSE)</f>
        <v>#N/A</v>
      </c>
      <c r="C26" s="135" t="s">
        <v>56</v>
      </c>
      <c r="D26" s="361"/>
      <c r="E26" s="362"/>
      <c r="F26" s="366"/>
      <c r="G26" s="366"/>
      <c r="H26" s="366"/>
      <c r="I26" s="366"/>
      <c r="J26" s="102">
        <f>SUM(F26:I26)</f>
        <v>0</v>
      </c>
      <c r="K26" s="22">
        <f>SUM(AL26:AO26)</f>
        <v>0</v>
      </c>
      <c r="L26" s="22">
        <f>IFERROR(SUM(AQ26:AT26),0)</f>
        <v>0</v>
      </c>
      <c r="M26" s="22">
        <f>SUM(K26:L26)</f>
        <v>0</v>
      </c>
      <c r="Z26" s="21">
        <f>D26</f>
        <v>0</v>
      </c>
      <c r="AA26" s="21">
        <f>Z26*Tabeller!I$33</f>
        <v>0</v>
      </c>
      <c r="AB26" s="21">
        <f>AA26*Tabeller!$I$35</f>
        <v>0</v>
      </c>
      <c r="AC26" s="21">
        <f t="shared" si="22"/>
        <v>0</v>
      </c>
      <c r="AD26" s="21">
        <f>AC26*Tabeller!$H$24</f>
        <v>0</v>
      </c>
      <c r="AE26" s="21">
        <f>SUM(AC26:AD26,AF26)*Tabeller!$H$25</f>
        <v>0</v>
      </c>
      <c r="AF26" s="21">
        <f>AB26*Tabeller!$H$26</f>
        <v>0</v>
      </c>
      <c r="AG26" s="21">
        <f t="shared" si="23"/>
        <v>0</v>
      </c>
      <c r="AH26" s="21">
        <f>AG26+(Registrering!$E$27)</f>
        <v>465000</v>
      </c>
      <c r="AI26" s="21">
        <f>AH26/Tabeller!$H$3</f>
        <v>270.3488372093023</v>
      </c>
      <c r="AL26" s="21">
        <f>((F26*Budsjett!$AG26))</f>
        <v>0</v>
      </c>
      <c r="AM26" s="21">
        <f>((G26*Budsjett!$AG26)*(Tabeller!J$33))</f>
        <v>0</v>
      </c>
      <c r="AN26" s="21">
        <f>((H26*Budsjett!$AG26)*(Tabeller!J$33*Tabeller!J$34))</f>
        <v>0</v>
      </c>
      <c r="AO26" s="21">
        <f>((I26*Budsjett!$AG26)*(Tabeller!J$33*Tabeller!J$34*Tabeller!J$34))</f>
        <v>0</v>
      </c>
      <c r="AQ26" s="21">
        <f>IFERROR(AL26*Budsjett!$G$54,0)</f>
        <v>0</v>
      </c>
      <c r="AR26" s="21">
        <f>IFERROR(AM26*Budsjett!$G$54,0)</f>
        <v>0</v>
      </c>
      <c r="AS26" s="21">
        <f>IFERROR(AN26*Budsjett!$G$54,0)</f>
        <v>0</v>
      </c>
      <c r="AT26" s="21">
        <f>IFERROR(AO26*Budsjett!$G$54,0)</f>
        <v>0</v>
      </c>
      <c r="AW26" s="21"/>
      <c r="AX26" s="21"/>
      <c r="AY26" s="21"/>
      <c r="AZ26" s="21"/>
      <c r="BC26" s="21">
        <f t="shared" si="24"/>
        <v>0</v>
      </c>
      <c r="BD26" s="21">
        <f t="shared" si="24"/>
        <v>0</v>
      </c>
      <c r="BE26" s="21">
        <f t="shared" si="24"/>
        <v>0</v>
      </c>
      <c r="BF26" s="21">
        <f t="shared" si="24"/>
        <v>0</v>
      </c>
      <c r="BO26" s="84">
        <f t="shared" si="6"/>
        <v>0</v>
      </c>
      <c r="BP26" s="21"/>
      <c r="BQ26" s="21"/>
      <c r="BR26" s="21"/>
      <c r="BS26" s="21"/>
      <c r="BT26" s="25">
        <f t="shared" si="25"/>
        <v>0</v>
      </c>
      <c r="BV26" s="84">
        <f t="shared" si="9"/>
        <v>0</v>
      </c>
      <c r="BW26" s="21">
        <f t="shared" si="26"/>
        <v>0</v>
      </c>
      <c r="BX26" s="21">
        <f t="shared" si="26"/>
        <v>0</v>
      </c>
      <c r="BY26" s="21">
        <f t="shared" si="26"/>
        <v>0</v>
      </c>
      <c r="BZ26" s="21">
        <f t="shared" si="26"/>
        <v>0</v>
      </c>
      <c r="CA26" s="25">
        <f t="shared" si="27"/>
        <v>0</v>
      </c>
    </row>
    <row r="27" spans="1:79" ht="15" x14ac:dyDescent="0.25">
      <c r="A27" s="98"/>
      <c r="B27" s="24" t="e">
        <f>VLOOKUP(A27,Tabeller!$W$15:$Z$23,4,FALSE)</f>
        <v>#N/A</v>
      </c>
      <c r="C27" s="135" t="s">
        <v>56</v>
      </c>
      <c r="D27" s="361"/>
      <c r="E27" s="362"/>
      <c r="F27" s="366"/>
      <c r="G27" s="366"/>
      <c r="H27" s="366"/>
      <c r="I27" s="366"/>
      <c r="J27" s="102">
        <f>SUM(F27:I27)</f>
        <v>0</v>
      </c>
      <c r="K27" s="22">
        <f>SUM(AL27:AO27)</f>
        <v>0</v>
      </c>
      <c r="L27" s="22">
        <f>IFERROR(SUM(AQ27:AT27),0)</f>
        <v>0</v>
      </c>
      <c r="M27" s="22">
        <f>SUM(K27:L27)</f>
        <v>0</v>
      </c>
      <c r="Z27" s="21">
        <f>D27</f>
        <v>0</v>
      </c>
      <c r="AA27" s="21">
        <f>Z27*Tabeller!I$33</f>
        <v>0</v>
      </c>
      <c r="AB27" s="21">
        <f>AA27*Tabeller!$I$35</f>
        <v>0</v>
      </c>
      <c r="AC27" s="21">
        <f t="shared" si="22"/>
        <v>0</v>
      </c>
      <c r="AD27" s="21">
        <f>AC27*Tabeller!$H$24</f>
        <v>0</v>
      </c>
      <c r="AE27" s="21">
        <f>SUM(AC27:AD27,AF27)*Tabeller!$H$25</f>
        <v>0</v>
      </c>
      <c r="AF27" s="21">
        <f>AB27*Tabeller!$H$26</f>
        <v>0</v>
      </c>
      <c r="AG27" s="21">
        <f t="shared" si="23"/>
        <v>0</v>
      </c>
      <c r="AH27" s="21">
        <f>AG27+(Registrering!$E$27)</f>
        <v>465000</v>
      </c>
      <c r="AI27" s="21">
        <f>AH27/Tabeller!$H$3</f>
        <v>270.3488372093023</v>
      </c>
      <c r="AL27" s="21">
        <f>((F27*Budsjett!$AG27))</f>
        <v>0</v>
      </c>
      <c r="AM27" s="21">
        <f>((G27*Budsjett!$AG27)*(Tabeller!J$33))</f>
        <v>0</v>
      </c>
      <c r="AN27" s="21">
        <f>((H27*Budsjett!$AG27)*(Tabeller!J$33*Tabeller!J$34))</f>
        <v>0</v>
      </c>
      <c r="AO27" s="21">
        <f>((I27*Budsjett!$AG27)*(Tabeller!J$33*Tabeller!J$34*Tabeller!J$34))</f>
        <v>0</v>
      </c>
      <c r="AQ27" s="21">
        <f>IFERROR(AL27*Budsjett!$G$54,0)</f>
        <v>0</v>
      </c>
      <c r="AR27" s="21">
        <f>IFERROR(AM27*Budsjett!$G$54,0)</f>
        <v>0</v>
      </c>
      <c r="AS27" s="21">
        <f>IFERROR(AN27*Budsjett!$G$54,0)</f>
        <v>0</v>
      </c>
      <c r="AT27" s="21">
        <f>IFERROR(AO27*Budsjett!$G$54,0)</f>
        <v>0</v>
      </c>
      <c r="AW27" s="21"/>
      <c r="AX27" s="21"/>
      <c r="AY27" s="21"/>
      <c r="AZ27" s="21"/>
      <c r="BC27" s="21">
        <f t="shared" si="24"/>
        <v>0</v>
      </c>
      <c r="BD27" s="21">
        <f t="shared" si="24"/>
        <v>0</v>
      </c>
      <c r="BE27" s="21">
        <f t="shared" si="24"/>
        <v>0</v>
      </c>
      <c r="BF27" s="21">
        <f t="shared" si="24"/>
        <v>0</v>
      </c>
      <c r="BO27" s="84">
        <f t="shared" si="6"/>
        <v>0</v>
      </c>
      <c r="BP27" s="21"/>
      <c r="BQ27" s="21"/>
      <c r="BR27" s="21"/>
      <c r="BS27" s="21"/>
      <c r="BT27" s="25">
        <f t="shared" si="25"/>
        <v>0</v>
      </c>
      <c r="BV27" s="84">
        <f t="shared" si="9"/>
        <v>0</v>
      </c>
      <c r="BW27" s="21">
        <f t="shared" si="26"/>
        <v>0</v>
      </c>
      <c r="BX27" s="21">
        <f t="shared" si="26"/>
        <v>0</v>
      </c>
      <c r="BY27" s="21">
        <f t="shared" si="26"/>
        <v>0</v>
      </c>
      <c r="BZ27" s="21">
        <f t="shared" si="26"/>
        <v>0</v>
      </c>
      <c r="CA27" s="25">
        <f t="shared" si="27"/>
        <v>0</v>
      </c>
    </row>
    <row r="28" spans="1:79" ht="15" x14ac:dyDescent="0.25">
      <c r="A28" s="31" t="s">
        <v>45</v>
      </c>
      <c r="B28" s="31"/>
      <c r="C28" s="31"/>
      <c r="D28" s="31"/>
      <c r="E28" s="32"/>
      <c r="F28" s="100">
        <f t="shared" ref="F28:M28" si="28">SUM(F23:F27)</f>
        <v>0</v>
      </c>
      <c r="G28" s="100">
        <f t="shared" si="28"/>
        <v>0</v>
      </c>
      <c r="H28" s="100">
        <f t="shared" si="28"/>
        <v>0</v>
      </c>
      <c r="I28" s="100">
        <f t="shared" si="28"/>
        <v>0</v>
      </c>
      <c r="J28" s="101">
        <f t="shared" si="28"/>
        <v>0</v>
      </c>
      <c r="K28" s="38">
        <f t="shared" si="28"/>
        <v>0</v>
      </c>
      <c r="L28" s="38">
        <f t="shared" si="28"/>
        <v>0</v>
      </c>
      <c r="M28" s="38">
        <f t="shared" si="28"/>
        <v>0</v>
      </c>
      <c r="AL28" s="25">
        <f>SUM(AL23:AL27)</f>
        <v>0</v>
      </c>
      <c r="AM28" s="25">
        <f>SUM(AM23:AM27)</f>
        <v>0</v>
      </c>
      <c r="AN28" s="25">
        <f>SUM(AN23:AN27)</f>
        <v>0</v>
      </c>
      <c r="AO28" s="25">
        <f>SUM(AO23:AO27)</f>
        <v>0</v>
      </c>
      <c r="AP28" s="58">
        <f>SUM(AL28:AO28)</f>
        <v>0</v>
      </c>
      <c r="AQ28" s="25">
        <f>SUM(AQ23:AQ27)</f>
        <v>0</v>
      </c>
      <c r="AR28" s="25">
        <f>SUM(AR23:AR27)</f>
        <v>0</v>
      </c>
      <c r="AS28" s="25">
        <f>SUM(AS23:AS27)</f>
        <v>0</v>
      </c>
      <c r="AT28" s="25">
        <f>SUM(AT23:AT27)</f>
        <v>0</v>
      </c>
      <c r="AU28" s="58">
        <f>SUM(AQ28:AT28)</f>
        <v>0</v>
      </c>
      <c r="AW28" s="25">
        <f>SUM(AW23:AW27)</f>
        <v>0</v>
      </c>
      <c r="AX28" s="25">
        <f>SUM(AX23:AX27)</f>
        <v>0</v>
      </c>
      <c r="AY28" s="25">
        <f>SUM(AY23:AY27)</f>
        <v>0</v>
      </c>
      <c r="AZ28" s="25">
        <f>SUM(AZ23:AZ27)</f>
        <v>0</v>
      </c>
      <c r="BC28" s="25">
        <f>SUM(BC23:BC27)</f>
        <v>0</v>
      </c>
      <c r="BD28" s="25">
        <f>SUM(BD23:BD27)</f>
        <v>0</v>
      </c>
      <c r="BE28" s="25">
        <f>SUM(BE23:BE27)</f>
        <v>0</v>
      </c>
      <c r="BF28" s="25">
        <f>SUM(BF23:BF27)</f>
        <v>0</v>
      </c>
      <c r="BO28" s="84" t="str">
        <f t="shared" si="6"/>
        <v>Sum</v>
      </c>
      <c r="BP28" s="21"/>
      <c r="BQ28" s="21"/>
      <c r="BR28" s="21"/>
      <c r="BS28" s="21"/>
      <c r="BT28" s="25">
        <f t="shared" si="25"/>
        <v>0</v>
      </c>
      <c r="BV28" s="84" t="str">
        <f t="shared" si="9"/>
        <v>Sum</v>
      </c>
      <c r="BW28" s="25">
        <f>SUM(BW23:BW27)</f>
        <v>0</v>
      </c>
      <c r="BX28" s="25">
        <f>SUM(BX23:BX27)</f>
        <v>0</v>
      </c>
      <c r="BY28" s="25">
        <f>SUM(BY23:BY27)</f>
        <v>0</v>
      </c>
      <c r="BZ28" s="25">
        <f>SUM(BZ23:BZ27)</f>
        <v>0</v>
      </c>
      <c r="CA28" s="25">
        <f t="shared" si="27"/>
        <v>0</v>
      </c>
    </row>
    <row r="29" spans="1:79" ht="21" x14ac:dyDescent="0.35">
      <c r="A29" s="55" t="s">
        <v>89</v>
      </c>
      <c r="B29" s="55"/>
      <c r="C29" s="49"/>
      <c r="D29" s="49"/>
      <c r="E29" s="55"/>
      <c r="F29" s="57" t="s">
        <v>90</v>
      </c>
      <c r="K29" s="47"/>
      <c r="BO29" s="84" t="str">
        <f t="shared" si="6"/>
        <v>Timelønn - dekkes av prosjektbevilgning</v>
      </c>
      <c r="BV29" s="84" t="str">
        <f t="shared" si="9"/>
        <v>Timelønn - dekkes av prosjektbevilgning</v>
      </c>
    </row>
    <row r="30" spans="1:79" ht="15" x14ac:dyDescent="0.25">
      <c r="A30" s="85"/>
      <c r="B30" s="85"/>
      <c r="C30" s="85"/>
      <c r="D30" s="85" t="s">
        <v>64</v>
      </c>
      <c r="E30" s="85" t="s">
        <v>44</v>
      </c>
      <c r="F30" s="86" t="str">
        <f>F22</f>
        <v>Periode 1 (1-18 month)</v>
      </c>
      <c r="G30" s="86" t="str">
        <f>G22</f>
        <v>Periode 2 (19-36 month)</v>
      </c>
      <c r="H30" s="86" t="str">
        <f>H22</f>
        <v>Periode 3 (37-54 month)</v>
      </c>
      <c r="I30" s="86" t="str">
        <f>I22</f>
        <v>Periode 4 (55-60 (72) month)</v>
      </c>
      <c r="J30" s="87" t="s">
        <v>45</v>
      </c>
      <c r="K30" s="87" t="s">
        <v>91</v>
      </c>
      <c r="L30" s="87" t="s">
        <v>71</v>
      </c>
      <c r="M30" s="87" t="s">
        <v>72</v>
      </c>
      <c r="Z30" s="59" t="s">
        <v>73</v>
      </c>
      <c r="AA30" s="60" t="s">
        <v>74</v>
      </c>
      <c r="AB30" s="60" t="s">
        <v>75</v>
      </c>
      <c r="AC30" s="60" t="s">
        <v>76</v>
      </c>
      <c r="AD30" s="60" t="s">
        <v>77</v>
      </c>
      <c r="AE30" s="60" t="s">
        <v>78</v>
      </c>
      <c r="AF30" s="60" t="s">
        <v>79</v>
      </c>
      <c r="AG30" s="60" t="s">
        <v>80</v>
      </c>
      <c r="AH30" s="60" t="s">
        <v>81</v>
      </c>
      <c r="AI30" s="60" t="s">
        <v>82</v>
      </c>
      <c r="AL30" s="25" t="str">
        <f>F30</f>
        <v>Periode 1 (1-18 month)</v>
      </c>
      <c r="AM30" s="25" t="str">
        <f>G30</f>
        <v>Periode 2 (19-36 month)</v>
      </c>
      <c r="AN30" s="25" t="str">
        <f>H30</f>
        <v>Periode 3 (37-54 month)</v>
      </c>
      <c r="AO30" s="25" t="str">
        <f>I30</f>
        <v>Periode 4 (55-60 (72) month)</v>
      </c>
      <c r="AQ30" s="21" t="str">
        <f>AL30</f>
        <v>Periode 1 (1-18 month)</v>
      </c>
      <c r="AR30" s="21" t="str">
        <f>AM30</f>
        <v>Periode 2 (19-36 month)</v>
      </c>
      <c r="AS30" s="21" t="str">
        <f>AN30</f>
        <v>Periode 3 (37-54 month)</v>
      </c>
      <c r="AT30" s="21" t="str">
        <f>AO30</f>
        <v>Periode 4 (55-60 (72) month)</v>
      </c>
      <c r="AW30" s="25" t="str">
        <f>AQ30</f>
        <v>Periode 1 (1-18 month)</v>
      </c>
      <c r="AX30" s="25" t="str">
        <f>AR30</f>
        <v>Periode 2 (19-36 month)</v>
      </c>
      <c r="AY30" s="25" t="str">
        <f>AS30</f>
        <v>Periode 3 (37-54 month)</v>
      </c>
      <c r="AZ30" s="25" t="str">
        <f>AT30</f>
        <v>Periode 4 (55-60 (72) month)</v>
      </c>
      <c r="BC30" s="25" t="str">
        <f>F3</f>
        <v>Periode 1 (1-18 month)</v>
      </c>
      <c r="BD30" s="25" t="str">
        <f>G3</f>
        <v>Periode 2 (19-36 month)</v>
      </c>
      <c r="BE30" s="25" t="str">
        <f>H3</f>
        <v>Periode 3 (37-54 month)</v>
      </c>
      <c r="BF30" s="25" t="str">
        <f>I3</f>
        <v>Periode 4 (55-60 (72) month)</v>
      </c>
      <c r="BO30" s="84">
        <f t="shared" si="6"/>
        <v>0</v>
      </c>
      <c r="BP30" s="25" t="str">
        <f>BP22</f>
        <v>Periode 1 (1-18 month)</v>
      </c>
      <c r="BQ30" s="25" t="str">
        <f>BQ22</f>
        <v>Periode 2 (19-36 month)</v>
      </c>
      <c r="BR30" s="25" t="str">
        <f>BR22</f>
        <v>Periode 3 (37-54 month)</v>
      </c>
      <c r="BS30" s="25" t="str">
        <f>BS22</f>
        <v>Periode 4 (55-60 (72) month)</v>
      </c>
      <c r="BT30" s="25" t="str">
        <f>BT22</f>
        <v>Sum årsv</v>
      </c>
      <c r="BV30" s="84">
        <f t="shared" si="9"/>
        <v>0</v>
      </c>
      <c r="BW30" s="25" t="str">
        <f>BW22</f>
        <v>Periode 1 (1-18 month)</v>
      </c>
      <c r="BX30" s="25" t="str">
        <f>BX22</f>
        <v>Periode 2 (19-36 month)</v>
      </c>
      <c r="BY30" s="25" t="str">
        <f>BY22</f>
        <v>Periode 3 (37-54 month)</v>
      </c>
      <c r="BZ30" s="25" t="str">
        <f>BZ22</f>
        <v>Periode 4 (55-60 (72) month)</v>
      </c>
      <c r="CA30" s="25" t="str">
        <f>CA22</f>
        <v>Sum årsv</v>
      </c>
    </row>
    <row r="31" spans="1:79" ht="15" x14ac:dyDescent="0.25">
      <c r="A31" s="24" t="s">
        <v>92</v>
      </c>
      <c r="B31" s="24"/>
      <c r="C31" s="360" t="s">
        <v>55</v>
      </c>
      <c r="D31" s="361"/>
      <c r="E31" s="362"/>
      <c r="F31" s="367"/>
      <c r="G31" s="367"/>
      <c r="H31" s="367"/>
      <c r="I31" s="367"/>
      <c r="J31" s="102">
        <f>SUM(F31:I31)</f>
        <v>0</v>
      </c>
      <c r="K31" s="22">
        <f>SUM(AL31:AO31)</f>
        <v>0</v>
      </c>
      <c r="L31" s="22">
        <f>IFERROR(SUM(AQ31:AT31),0)</f>
        <v>0</v>
      </c>
      <c r="M31" s="22">
        <f>SUM(K31:L31)</f>
        <v>0</v>
      </c>
      <c r="Z31" s="21">
        <f>D31</f>
        <v>0</v>
      </c>
      <c r="AA31" s="21">
        <f>Z31*Tabeller!I$33</f>
        <v>0</v>
      </c>
      <c r="AB31" s="21">
        <f>AA31*Tabeller!$I$35</f>
        <v>0</v>
      </c>
      <c r="AC31" s="21">
        <f t="shared" ref="AC31:AC33" si="29">IF(AA31&gt;0,(AB31-400)/52*47,0)</f>
        <v>0</v>
      </c>
      <c r="AD31" s="21">
        <f>AC31*Tabeller!$H$24</f>
        <v>0</v>
      </c>
      <c r="AE31" s="21">
        <f>SUM(AC31:AD31,AF31)*Tabeller!$H$25</f>
        <v>0</v>
      </c>
      <c r="AF31" s="21">
        <f>AB31*Tabeller!$H$26</f>
        <v>0</v>
      </c>
      <c r="AG31" s="21">
        <f t="shared" ref="AG31:AG33" si="30">SUM(AC31:AF31)</f>
        <v>0</v>
      </c>
      <c r="AH31" s="21">
        <f>AG31+(Registrering!$E$27)</f>
        <v>465000</v>
      </c>
      <c r="AI31" s="21">
        <f>AG31/Tabeller!$H$3</f>
        <v>0</v>
      </c>
      <c r="AL31" s="21">
        <f>((F31*Budsjett!$AI31)*(Tabeller!I$35))</f>
        <v>0</v>
      </c>
      <c r="AM31" s="21">
        <f>((G31*Budsjett!$AI31)*(Tabeller!J$33))</f>
        <v>0</v>
      </c>
      <c r="AN31" s="21">
        <f>((H31*Budsjett!$AI31)*(Tabeller!J$33*Tabeller!J$34))</f>
        <v>0</v>
      </c>
      <c r="AO31" s="21">
        <f>((I31*Budsjett!$AI31)*(Tabeller!J$33*Tabeller!J$34*Tabeller!J$34))</f>
        <v>0</v>
      </c>
      <c r="AQ31" s="21">
        <f>IFERROR(AL31*Budsjett!$G$54,0)</f>
        <v>0</v>
      </c>
      <c r="AR31" s="21">
        <f>IFERROR(AM31*Budsjett!$G$54,0)</f>
        <v>0</v>
      </c>
      <c r="AS31" s="21">
        <f>IFERROR(AN31*Budsjett!$G$54,0)</f>
        <v>0</v>
      </c>
      <c r="AT31" s="21">
        <f>IFERROR(AO31*Budsjett!$G$54,0)</f>
        <v>0</v>
      </c>
      <c r="AW31" s="21">
        <f>IFERROR(AL31*Budsjett!AW$55,0)</f>
        <v>0</v>
      </c>
      <c r="AX31" s="21">
        <f>IFERROR(AM31*Budsjett!AX$55,0)</f>
        <v>0</v>
      </c>
      <c r="AY31" s="21">
        <f>IFERROR(AN31*Budsjett!AY$55,0)</f>
        <v>0</v>
      </c>
      <c r="AZ31" s="21">
        <f>IFERROR(AO31*Budsjett!AZ$55,0)</f>
        <v>0</v>
      </c>
      <c r="BC31" s="21">
        <f t="shared" ref="BC31:BF33" si="31">AQ31-AW31</f>
        <v>0</v>
      </c>
      <c r="BD31" s="21">
        <f t="shared" si="31"/>
        <v>0</v>
      </c>
      <c r="BE31" s="21">
        <f t="shared" si="31"/>
        <v>0</v>
      </c>
      <c r="BF31" s="21">
        <f t="shared" si="31"/>
        <v>0</v>
      </c>
      <c r="BO31" s="84" t="str">
        <f t="shared" si="6"/>
        <v>Timebasert lønn</v>
      </c>
      <c r="BP31" s="21">
        <f t="shared" ref="BP31:BS33" si="32">IF($C31=$BO$1,AL31,0)</f>
        <v>0</v>
      </c>
      <c r="BQ31" s="21">
        <f t="shared" si="32"/>
        <v>0</v>
      </c>
      <c r="BR31" s="21">
        <f t="shared" si="32"/>
        <v>0</v>
      </c>
      <c r="BS31" s="21">
        <f t="shared" si="32"/>
        <v>0</v>
      </c>
      <c r="BT31" s="25">
        <f>SUM(BP31:BS31)</f>
        <v>0</v>
      </c>
      <c r="BV31" s="84" t="str">
        <f t="shared" si="9"/>
        <v>Timebasert lønn</v>
      </c>
      <c r="BW31" s="21"/>
      <c r="BX31" s="21"/>
      <c r="BY31" s="21"/>
      <c r="BZ31" s="21"/>
      <c r="CA31" s="25">
        <f>SUM(BW31:BZ31)</f>
        <v>0</v>
      </c>
    </row>
    <row r="32" spans="1:79" ht="15" x14ac:dyDescent="0.25">
      <c r="A32" s="24" t="s">
        <v>92</v>
      </c>
      <c r="B32" s="24"/>
      <c r="C32" s="360" t="s">
        <v>55</v>
      </c>
      <c r="D32" s="361"/>
      <c r="E32" s="362"/>
      <c r="F32" s="367"/>
      <c r="G32" s="367"/>
      <c r="H32" s="367"/>
      <c r="I32" s="367"/>
      <c r="J32" s="102">
        <f>SUM(F32:I32)</f>
        <v>0</v>
      </c>
      <c r="K32" s="22">
        <f>SUM(AL32:AO32)</f>
        <v>0</v>
      </c>
      <c r="L32" s="22">
        <f>IFERROR(SUM(AQ32:AT32),0)</f>
        <v>0</v>
      </c>
      <c r="M32" s="22">
        <f>SUM(K32:L32)</f>
        <v>0</v>
      </c>
      <c r="Z32" s="21">
        <f>D32</f>
        <v>0</v>
      </c>
      <c r="AA32" s="21">
        <f>Z32*Tabeller!I$33</f>
        <v>0</v>
      </c>
      <c r="AB32" s="21">
        <f>AA32*Tabeller!$I$35</f>
        <v>0</v>
      </c>
      <c r="AC32" s="21">
        <f t="shared" si="29"/>
        <v>0</v>
      </c>
      <c r="AD32" s="21">
        <f>AC32*Tabeller!$H$24</f>
        <v>0</v>
      </c>
      <c r="AE32" s="21">
        <f>SUM(AC32:AD32,AF32)*Tabeller!$H$25</f>
        <v>0</v>
      </c>
      <c r="AF32" s="21">
        <f>AB32*Tabeller!$H$26</f>
        <v>0</v>
      </c>
      <c r="AG32" s="21">
        <f t="shared" si="30"/>
        <v>0</v>
      </c>
      <c r="AH32" s="21">
        <f>AG32+(Registrering!$E$27)</f>
        <v>465000</v>
      </c>
      <c r="AI32" s="21">
        <f>AG32/Tabeller!$H$3</f>
        <v>0</v>
      </c>
      <c r="AL32" s="21">
        <f>((F32*Budsjett!$AI32)*(Tabeller!I$35))</f>
        <v>0</v>
      </c>
      <c r="AM32" s="21">
        <f>((G32*Budsjett!$AI32)*(Tabeller!J$33))</f>
        <v>0</v>
      </c>
      <c r="AN32" s="21">
        <f>((H32*Budsjett!$AI32)*(Tabeller!J$33*Tabeller!J$34))</f>
        <v>0</v>
      </c>
      <c r="AO32" s="21">
        <f>((I32*Budsjett!$AI32)*(Tabeller!J$33*Tabeller!J$34*Tabeller!J$34))</f>
        <v>0</v>
      </c>
      <c r="AQ32" s="21">
        <f>IFERROR(AL32*Budsjett!$G$54,0)</f>
        <v>0</v>
      </c>
      <c r="AR32" s="21">
        <f>IFERROR(AM32*Budsjett!$G$54,0)</f>
        <v>0</v>
      </c>
      <c r="AS32" s="21">
        <f>IFERROR(AN32*Budsjett!$G$54,0)</f>
        <v>0</v>
      </c>
      <c r="AT32" s="21">
        <f>IFERROR(AO32*Budsjett!$G$54,0)</f>
        <v>0</v>
      </c>
      <c r="AW32" s="21">
        <f>IFERROR(AL32*Budsjett!AW$55,0)</f>
        <v>0</v>
      </c>
      <c r="AX32" s="21">
        <f>IFERROR(AM32*Budsjett!AX$55,0)</f>
        <v>0</v>
      </c>
      <c r="AY32" s="21">
        <f>IFERROR(AN32*Budsjett!AY$55,0)</f>
        <v>0</v>
      </c>
      <c r="AZ32" s="21">
        <f>IFERROR(AO32*Budsjett!AZ$55,0)</f>
        <v>0</v>
      </c>
      <c r="BC32" s="21">
        <f t="shared" si="31"/>
        <v>0</v>
      </c>
      <c r="BD32" s="21">
        <f t="shared" si="31"/>
        <v>0</v>
      </c>
      <c r="BE32" s="21">
        <f t="shared" si="31"/>
        <v>0</v>
      </c>
      <c r="BF32" s="21">
        <f t="shared" si="31"/>
        <v>0</v>
      </c>
      <c r="BO32" s="84" t="str">
        <f t="shared" si="6"/>
        <v>Timebasert lønn</v>
      </c>
      <c r="BP32" s="21">
        <f t="shared" si="32"/>
        <v>0</v>
      </c>
      <c r="BQ32" s="21">
        <f t="shared" si="32"/>
        <v>0</v>
      </c>
      <c r="BR32" s="21">
        <f t="shared" si="32"/>
        <v>0</v>
      </c>
      <c r="BS32" s="21">
        <f t="shared" si="32"/>
        <v>0</v>
      </c>
      <c r="BT32" s="25">
        <f>SUM(BP32:BS32)</f>
        <v>0</v>
      </c>
      <c r="BV32" s="84" t="str">
        <f t="shared" si="9"/>
        <v>Timebasert lønn</v>
      </c>
      <c r="BW32" s="21"/>
      <c r="BX32" s="21"/>
      <c r="BY32" s="21"/>
      <c r="BZ32" s="21"/>
      <c r="CA32" s="25">
        <f>SUM(BW32:BZ32)</f>
        <v>0</v>
      </c>
    </row>
    <row r="33" spans="1:79" ht="15" x14ac:dyDescent="0.25">
      <c r="A33" s="24" t="s">
        <v>92</v>
      </c>
      <c r="B33" s="24"/>
      <c r="C33" s="360" t="s">
        <v>55</v>
      </c>
      <c r="D33" s="361"/>
      <c r="E33" s="362"/>
      <c r="F33" s="367"/>
      <c r="G33" s="367"/>
      <c r="H33" s="367"/>
      <c r="I33" s="367"/>
      <c r="J33" s="102">
        <f>SUM(F33:I33)</f>
        <v>0</v>
      </c>
      <c r="K33" s="22">
        <f>SUM(AL33:AO33)</f>
        <v>0</v>
      </c>
      <c r="L33" s="22">
        <f>IFERROR(SUM(AQ33:AT33),0)</f>
        <v>0</v>
      </c>
      <c r="M33" s="22">
        <f>SUM(K33:L33)</f>
        <v>0</v>
      </c>
      <c r="Z33" s="21">
        <f>D33</f>
        <v>0</v>
      </c>
      <c r="AA33" s="21">
        <f>Z33*Tabeller!I$33</f>
        <v>0</v>
      </c>
      <c r="AB33" s="21">
        <f>AA33*Tabeller!$I$35</f>
        <v>0</v>
      </c>
      <c r="AC33" s="21">
        <f t="shared" si="29"/>
        <v>0</v>
      </c>
      <c r="AD33" s="21">
        <f>AC33*Tabeller!$H$24</f>
        <v>0</v>
      </c>
      <c r="AE33" s="21">
        <f>SUM(AC33:AD33,AF33)*Tabeller!$H$25</f>
        <v>0</v>
      </c>
      <c r="AF33" s="21">
        <f>AB33*Tabeller!$H$26</f>
        <v>0</v>
      </c>
      <c r="AG33" s="21">
        <f t="shared" si="30"/>
        <v>0</v>
      </c>
      <c r="AH33" s="21">
        <f>AG33+(Registrering!$E$27)</f>
        <v>465000</v>
      </c>
      <c r="AI33" s="21">
        <f>AG33/Tabeller!$H$3</f>
        <v>0</v>
      </c>
      <c r="AL33" s="21">
        <f>((F33*Budsjett!$AI33)*(Tabeller!I$35))</f>
        <v>0</v>
      </c>
      <c r="AM33" s="21">
        <f>((G33*Budsjett!$AI33)*(Tabeller!J$33))</f>
        <v>0</v>
      </c>
      <c r="AN33" s="21">
        <f>((H33*Budsjett!$AI33)*(Tabeller!J$33*Tabeller!J$34))</f>
        <v>0</v>
      </c>
      <c r="AO33" s="21">
        <f>((I33*Budsjett!$AI33)*(Tabeller!J$33*Tabeller!J$34*Tabeller!J$34))</f>
        <v>0</v>
      </c>
      <c r="AQ33" s="21">
        <f>IFERROR(AL33*Budsjett!$G$54,0)</f>
        <v>0</v>
      </c>
      <c r="AR33" s="21">
        <f>IFERROR(AM33*Budsjett!$G$54,0)</f>
        <v>0</v>
      </c>
      <c r="AS33" s="21">
        <f>IFERROR(AN33*Budsjett!$G$54,0)</f>
        <v>0</v>
      </c>
      <c r="AT33" s="21">
        <f>IFERROR(AO33*Budsjett!$G$54,0)</f>
        <v>0</v>
      </c>
      <c r="AW33" s="21">
        <f>IFERROR(AL33*Budsjett!AW$55,0)</f>
        <v>0</v>
      </c>
      <c r="AX33" s="21">
        <f>IFERROR(AM33*Budsjett!AX$55,0)</f>
        <v>0</v>
      </c>
      <c r="AY33" s="21">
        <f>IFERROR(AN33*Budsjett!AY$55,0)</f>
        <v>0</v>
      </c>
      <c r="AZ33" s="21">
        <f>IFERROR(AO33*Budsjett!AZ$55,0)</f>
        <v>0</v>
      </c>
      <c r="BC33" s="21">
        <f t="shared" si="31"/>
        <v>0</v>
      </c>
      <c r="BD33" s="21">
        <f t="shared" si="31"/>
        <v>0</v>
      </c>
      <c r="BE33" s="21">
        <f t="shared" si="31"/>
        <v>0</v>
      </c>
      <c r="BF33" s="21">
        <f t="shared" si="31"/>
        <v>0</v>
      </c>
      <c r="BO33" s="84" t="str">
        <f t="shared" si="6"/>
        <v>Timebasert lønn</v>
      </c>
      <c r="BP33" s="21">
        <f t="shared" si="32"/>
        <v>0</v>
      </c>
      <c r="BQ33" s="21">
        <f t="shared" si="32"/>
        <v>0</v>
      </c>
      <c r="BR33" s="21">
        <f t="shared" si="32"/>
        <v>0</v>
      </c>
      <c r="BS33" s="21">
        <f t="shared" si="32"/>
        <v>0</v>
      </c>
      <c r="BT33" s="25">
        <f>SUM(BP33:BS33)</f>
        <v>0</v>
      </c>
      <c r="BV33" s="84" t="str">
        <f t="shared" si="9"/>
        <v>Timebasert lønn</v>
      </c>
      <c r="BW33" s="21"/>
      <c r="BX33" s="21"/>
      <c r="BY33" s="21"/>
      <c r="BZ33" s="21"/>
      <c r="CA33" s="25">
        <f>SUM(BW33:BZ33)</f>
        <v>0</v>
      </c>
    </row>
    <row r="34" spans="1:79" ht="15" x14ac:dyDescent="0.25">
      <c r="A34" s="31" t="s">
        <v>45</v>
      </c>
      <c r="B34" s="31"/>
      <c r="C34" s="31"/>
      <c r="D34" s="31"/>
      <c r="E34" s="32"/>
      <c r="F34" s="100">
        <f t="shared" ref="F34:M34" si="33">SUM(F31:F33)</f>
        <v>0</v>
      </c>
      <c r="G34" s="100">
        <f t="shared" si="33"/>
        <v>0</v>
      </c>
      <c r="H34" s="100">
        <f t="shared" si="33"/>
        <v>0</v>
      </c>
      <c r="I34" s="100">
        <f t="shared" si="33"/>
        <v>0</v>
      </c>
      <c r="J34" s="100">
        <f t="shared" si="33"/>
        <v>0</v>
      </c>
      <c r="K34" s="38">
        <f t="shared" si="33"/>
        <v>0</v>
      </c>
      <c r="L34" s="38">
        <f t="shared" si="33"/>
        <v>0</v>
      </c>
      <c r="M34" s="38">
        <f t="shared" si="33"/>
        <v>0</v>
      </c>
      <c r="AL34" s="25">
        <f>SUM(AL31:AL33)</f>
        <v>0</v>
      </c>
      <c r="AM34" s="25">
        <f>SUM(AM31:AM33)</f>
        <v>0</v>
      </c>
      <c r="AN34" s="25">
        <f>SUM(AN31:AN33)</f>
        <v>0</v>
      </c>
      <c r="AO34" s="25">
        <f>SUM(AO31:AO33)</f>
        <v>0</v>
      </c>
      <c r="AP34" s="58">
        <f>SUM(AL34:AO34)</f>
        <v>0</v>
      </c>
      <c r="AQ34" s="25">
        <f>SUM(AQ31:AQ33)</f>
        <v>0</v>
      </c>
      <c r="AR34" s="25">
        <f>SUM(AR31:AR33)</f>
        <v>0</v>
      </c>
      <c r="AS34" s="25">
        <f>SUM(AS31:AS33)</f>
        <v>0</v>
      </c>
      <c r="AT34" s="25">
        <f>SUM(AT31:AT33)</f>
        <v>0</v>
      </c>
      <c r="AU34" s="58">
        <f>SUM(AQ34:AT34)</f>
        <v>0</v>
      </c>
      <c r="AW34" s="25">
        <f>SUM(AW31:AW33)</f>
        <v>0</v>
      </c>
      <c r="AX34" s="25">
        <f>SUM(AX31:AX33)</f>
        <v>0</v>
      </c>
      <c r="AY34" s="25">
        <f>SUM(AY31:AY33)</f>
        <v>0</v>
      </c>
      <c r="AZ34" s="25">
        <f>SUM(AZ31:AZ33)</f>
        <v>0</v>
      </c>
      <c r="BA34" s="58"/>
      <c r="BB34" s="58"/>
      <c r="BC34" s="25">
        <f>SUM(BC31:BC33)</f>
        <v>0</v>
      </c>
      <c r="BD34" s="25">
        <f>SUM(BD31:BD33)</f>
        <v>0</v>
      </c>
      <c r="BE34" s="25">
        <f>SUM(BE31:BE33)</f>
        <v>0</v>
      </c>
      <c r="BF34" s="25">
        <f>SUM(BF31:BF33)</f>
        <v>0</v>
      </c>
      <c r="BG34" s="58"/>
      <c r="BO34" s="84" t="str">
        <f t="shared" si="6"/>
        <v>Sum</v>
      </c>
      <c r="BP34" s="25">
        <f>SUM(BP31:BP33)</f>
        <v>0</v>
      </c>
      <c r="BQ34" s="25">
        <f>SUM(BQ31:BQ33)</f>
        <v>0</v>
      </c>
      <c r="BR34" s="25">
        <f>SUM(BR31:BR33)</f>
        <v>0</v>
      </c>
      <c r="BS34" s="25">
        <f>SUM(BS31:BS33)</f>
        <v>0</v>
      </c>
      <c r="BT34" s="25">
        <f>SUM(BT31:BT33)</f>
        <v>0</v>
      </c>
      <c r="BV34" s="84" t="str">
        <f t="shared" si="9"/>
        <v>Sum</v>
      </c>
      <c r="BW34" s="25">
        <f>SUM(BW31:BW33)</f>
        <v>0</v>
      </c>
      <c r="BX34" s="25">
        <f>SUM(BX31:BX33)</f>
        <v>0</v>
      </c>
      <c r="BY34" s="25">
        <f>SUM(BY31:BY33)</f>
        <v>0</v>
      </c>
      <c r="BZ34" s="25">
        <f>SUM(BZ31:BZ33)</f>
        <v>0</v>
      </c>
      <c r="CA34" s="25">
        <f>SUM(CA31:CA33)</f>
        <v>0</v>
      </c>
    </row>
    <row r="35" spans="1:79" ht="15" x14ac:dyDescent="0.25">
      <c r="A35" s="31" t="s">
        <v>93</v>
      </c>
      <c r="B35" s="31"/>
      <c r="C35" s="31"/>
      <c r="D35" s="31"/>
      <c r="E35" s="32"/>
      <c r="F35" s="100">
        <f>F12+F28+F20+F34/Tabeller!$H$3</f>
        <v>0</v>
      </c>
      <c r="G35" s="100">
        <f>G12+G28+G20+G34/Tabeller!$H$3</f>
        <v>0</v>
      </c>
      <c r="H35" s="100">
        <f>H12+H28+H20+H34/Tabeller!$H$3</f>
        <v>0</v>
      </c>
      <c r="I35" s="100">
        <f>I12+I28+I20+I34/Tabeller!$H$3</f>
        <v>0</v>
      </c>
      <c r="J35" s="100">
        <f>J12+J28+J20+J34/Tabeller!$H$3</f>
        <v>0</v>
      </c>
      <c r="K35" s="38">
        <f>K28+K20+K12+K34</f>
        <v>0</v>
      </c>
      <c r="L35" s="38">
        <f>L28+L20+L12+L34</f>
        <v>0</v>
      </c>
      <c r="M35" s="38">
        <f>M28+M20+M12</f>
        <v>0</v>
      </c>
      <c r="AL35" s="25">
        <f>AL28+AL20+AL12+AL34</f>
        <v>0</v>
      </c>
      <c r="AM35" s="25">
        <f>AM28+AM20+AM12+AM34</f>
        <v>0</v>
      </c>
      <c r="AN35" s="25">
        <f>AN28+AN20+AN12+AN34</f>
        <v>0</v>
      </c>
      <c r="AO35" s="25">
        <f>AO28+AO20+AO12+AO34</f>
        <v>0</v>
      </c>
      <c r="AP35" s="58">
        <f>SUM(AL35:AO35)</f>
        <v>0</v>
      </c>
      <c r="AQ35" s="25">
        <f>AQ28+AQ20+AQ12+AQ34</f>
        <v>0</v>
      </c>
      <c r="AR35" s="25">
        <f>AR28+AR20+AR12+AR34</f>
        <v>0</v>
      </c>
      <c r="AS35" s="25">
        <f>AS28+AS20+AS12+AS34</f>
        <v>0</v>
      </c>
      <c r="AT35" s="25">
        <f>AT28+AT20+AT12+AT34</f>
        <v>0</v>
      </c>
      <c r="AU35" s="61">
        <f>SUM(AQ35:AT35)</f>
        <v>0</v>
      </c>
      <c r="AV35" s="65"/>
      <c r="AW35" s="25">
        <f>AW28+AW20+AW12+AW34</f>
        <v>0</v>
      </c>
      <c r="AX35" s="25">
        <f>AX28+AX20+AX12+AX34</f>
        <v>0</v>
      </c>
      <c r="AY35" s="25">
        <f>AY28+AY20+AY12+AY34</f>
        <v>0</v>
      </c>
      <c r="AZ35" s="25">
        <f>AZ28+AZ20+AZ12+AZ34</f>
        <v>0</v>
      </c>
      <c r="BA35" s="58">
        <f>SUM(AW35:AZ35)</f>
        <v>0</v>
      </c>
      <c r="BB35" s="58"/>
      <c r="BC35" s="25">
        <f>BC28+BC20+BC12+BC34</f>
        <v>0</v>
      </c>
      <c r="BD35" s="25">
        <f>BD28+BD20+BD12+BD34</f>
        <v>0</v>
      </c>
      <c r="BE35" s="25">
        <f>BE28+BE20+BE12+BE34</f>
        <v>0</v>
      </c>
      <c r="BF35" s="25">
        <f>BF28+BF20+BF12+BF34</f>
        <v>0</v>
      </c>
      <c r="BG35" s="58"/>
      <c r="BO35" s="84" t="str">
        <f t="shared" si="6"/>
        <v>Total arbeidsinnsats for prosjektet (årsverk)</v>
      </c>
      <c r="BP35" s="25">
        <f>BP28+BP20+BP12+BP34</f>
        <v>0</v>
      </c>
      <c r="BQ35" s="25">
        <f>BQ28+BQ20+BQ12+BQ34</f>
        <v>0</v>
      </c>
      <c r="BR35" s="25">
        <f>BR28+BR20+BR12+BR34</f>
        <v>0</v>
      </c>
      <c r="BS35" s="25">
        <f>BS28+BS20+BS12+BS34</f>
        <v>0</v>
      </c>
      <c r="BT35" s="25">
        <f>BT28+BT20+BT12+BT34</f>
        <v>0</v>
      </c>
      <c r="BV35" s="84" t="str">
        <f t="shared" si="9"/>
        <v>Total arbeidsinnsats for prosjektet (årsverk)</v>
      </c>
      <c r="BW35" s="25">
        <f>BW28+BW20+BW12+BW34</f>
        <v>0</v>
      </c>
      <c r="BX35" s="25">
        <f>BX28+BX20+BX12+BX34</f>
        <v>0</v>
      </c>
      <c r="BY35" s="25">
        <f>BY28+BY20+BY12+BY34</f>
        <v>0</v>
      </c>
      <c r="BZ35" s="25">
        <f>BZ28+BZ20+BZ12+BZ34</f>
        <v>0</v>
      </c>
      <c r="CA35" s="25">
        <f>CA28+CA20+CA12+CA34</f>
        <v>0</v>
      </c>
    </row>
    <row r="36" spans="1:79" ht="21" x14ac:dyDescent="0.35">
      <c r="A36" s="55" t="s">
        <v>94</v>
      </c>
      <c r="B36" s="55"/>
      <c r="C36" s="49"/>
      <c r="D36" s="49"/>
      <c r="E36" s="49"/>
      <c r="F36" s="57" t="s">
        <v>95</v>
      </c>
      <c r="BD36" s="58"/>
      <c r="BO36" s="84" t="str">
        <f t="shared" si="6"/>
        <v>Direkte driftsmidler</v>
      </c>
      <c r="BV36" s="84" t="str">
        <f t="shared" si="9"/>
        <v>Direkte driftsmidler</v>
      </c>
    </row>
    <row r="37" spans="1:79" ht="15" x14ac:dyDescent="0.25">
      <c r="A37" s="85"/>
      <c r="B37" s="85"/>
      <c r="C37" s="85"/>
      <c r="D37" s="85"/>
      <c r="E37" s="85" t="s">
        <v>96</v>
      </c>
      <c r="F37" s="86" t="str">
        <f>F3</f>
        <v>Periode 1 (1-18 month)</v>
      </c>
      <c r="G37" s="86" t="str">
        <f>G3</f>
        <v>Periode 2 (19-36 month)</v>
      </c>
      <c r="H37" s="86" t="str">
        <f>H3</f>
        <v>Periode 3 (37-54 month)</v>
      </c>
      <c r="I37" s="86" t="str">
        <f>I3</f>
        <v>Periode 4 (55-60 (72) month)</v>
      </c>
      <c r="J37" s="87"/>
      <c r="K37" s="87"/>
      <c r="L37" s="87"/>
      <c r="M37" s="87" t="s">
        <v>72</v>
      </c>
      <c r="AL37" s="25" t="str">
        <f t="shared" ref="AL37:AL46" si="34">F37</f>
        <v>Periode 1 (1-18 month)</v>
      </c>
      <c r="AM37" s="25" t="str">
        <f t="shared" ref="AM37:AM46" si="35">G37</f>
        <v>Periode 2 (19-36 month)</v>
      </c>
      <c r="AN37" s="25" t="str">
        <f t="shared" ref="AN37:AN46" si="36">H37</f>
        <v>Periode 3 (37-54 month)</v>
      </c>
      <c r="AO37" s="25" t="str">
        <f t="shared" ref="AO37:AO46" si="37">I37</f>
        <v>Periode 4 (55-60 (72) month)</v>
      </c>
      <c r="BD37" s="58"/>
      <c r="BO37" s="84">
        <f t="shared" si="6"/>
        <v>0</v>
      </c>
      <c r="BP37" s="25" t="str">
        <f>BP3</f>
        <v>Periode 1 (1-18 month)</v>
      </c>
      <c r="BQ37" s="25" t="str">
        <f>BQ3</f>
        <v>Periode 2 (19-36 month)</v>
      </c>
      <c r="BR37" s="25" t="str">
        <f>BR3</f>
        <v>Periode 3 (37-54 month)</v>
      </c>
      <c r="BS37" s="25" t="str">
        <f>BS3</f>
        <v>Periode 4 (55-60 (72) month)</v>
      </c>
      <c r="BT37" s="25" t="str">
        <f>BT3</f>
        <v>Sum årsv</v>
      </c>
      <c r="BV37" s="84">
        <f t="shared" si="9"/>
        <v>0</v>
      </c>
      <c r="BW37" s="25" t="str">
        <f>BW30</f>
        <v>Periode 1 (1-18 month)</v>
      </c>
      <c r="BX37" s="25" t="str">
        <f>BX30</f>
        <v>Periode 2 (19-36 month)</v>
      </c>
      <c r="BY37" s="25" t="str">
        <f>BY30</f>
        <v>Periode 3 (37-54 month)</v>
      </c>
      <c r="BZ37" s="25" t="str">
        <f>BZ30</f>
        <v>Periode 4 (55-60 (72) month)</v>
      </c>
      <c r="CA37" s="25" t="str">
        <f>CA30</f>
        <v>Sum årsv</v>
      </c>
    </row>
    <row r="38" spans="1:79" ht="15" x14ac:dyDescent="0.25">
      <c r="A38" s="269" t="s">
        <v>97</v>
      </c>
      <c r="B38" s="24"/>
      <c r="C38" s="360" t="s">
        <v>55</v>
      </c>
      <c r="D38" s="26"/>
      <c r="E38" s="368"/>
      <c r="F38" s="330"/>
      <c r="G38" s="330"/>
      <c r="H38" s="330"/>
      <c r="I38" s="330"/>
      <c r="J38" s="40"/>
      <c r="K38" s="40"/>
      <c r="L38" s="40"/>
      <c r="M38" s="22">
        <f t="shared" ref="M38:M46" si="38">SUM(F38:I38)</f>
        <v>0</v>
      </c>
      <c r="AL38" s="184">
        <f t="shared" si="34"/>
        <v>0</v>
      </c>
      <c r="AM38" s="21">
        <f t="shared" si="35"/>
        <v>0</v>
      </c>
      <c r="AN38" s="21">
        <f t="shared" si="36"/>
        <v>0</v>
      </c>
      <c r="AO38" s="21">
        <f t="shared" si="37"/>
        <v>0</v>
      </c>
      <c r="AP38" s="58">
        <f t="shared" ref="AP38:AP47" si="39">SUM(AL38:AO38)</f>
        <v>0</v>
      </c>
      <c r="BD38" s="58"/>
      <c r="BO38" s="84" t="str">
        <f t="shared" si="6"/>
        <v>Lab./feltundersøkelser</v>
      </c>
      <c r="BP38" s="176">
        <f t="shared" ref="BP38:BP46" si="40">IF($C38=$BO$1,AL38,0)</f>
        <v>0</v>
      </c>
      <c r="BQ38" s="21">
        <f t="shared" ref="BQ38:BQ46" si="41">IF($C38=$BO$1,AM38,0)</f>
        <v>0</v>
      </c>
      <c r="BR38" s="21">
        <f t="shared" ref="BR38:BR46" si="42">IF($C38=$BO$1,AN38,0)</f>
        <v>0</v>
      </c>
      <c r="BS38" s="21">
        <f t="shared" ref="BS38:BS46" si="43">IF($C38=$BO$1,AO38,0)</f>
        <v>0</v>
      </c>
      <c r="BT38" s="137">
        <f t="shared" ref="BT38:BT47" si="44">SUM(BP38:BS38)</f>
        <v>0</v>
      </c>
      <c r="BV38" s="84" t="str">
        <f t="shared" si="9"/>
        <v>Lab./feltundersøkelser</v>
      </c>
      <c r="BW38" s="21">
        <f t="shared" ref="BW38:BW44" si="45">IF($C38=$BV$1,AL38,0)</f>
        <v>0</v>
      </c>
      <c r="BX38" s="21">
        <f t="shared" ref="BX38:BZ40" si="46">IF($C38=$BV$1,-AM38,0)</f>
        <v>0</v>
      </c>
      <c r="BY38" s="21">
        <f t="shared" si="46"/>
        <v>0</v>
      </c>
      <c r="BZ38" s="21">
        <f t="shared" si="46"/>
        <v>0</v>
      </c>
      <c r="CA38" s="58">
        <f t="shared" ref="CA38:CA47" si="47">SUM(BW38:BZ38)</f>
        <v>0</v>
      </c>
    </row>
    <row r="39" spans="1:79" ht="15" x14ac:dyDescent="0.25">
      <c r="A39" s="269" t="s">
        <v>98</v>
      </c>
      <c r="B39" s="24"/>
      <c r="C39" s="360" t="s">
        <v>55</v>
      </c>
      <c r="D39" s="27"/>
      <c r="E39" s="368"/>
      <c r="F39" s="330"/>
      <c r="G39" s="330"/>
      <c r="H39" s="330"/>
      <c r="I39" s="330"/>
      <c r="J39" s="40"/>
      <c r="K39" s="40"/>
      <c r="L39" s="40"/>
      <c r="M39" s="22">
        <f t="shared" si="38"/>
        <v>0</v>
      </c>
      <c r="AL39" s="184">
        <f t="shared" si="34"/>
        <v>0</v>
      </c>
      <c r="AM39" s="21">
        <f t="shared" si="35"/>
        <v>0</v>
      </c>
      <c r="AN39" s="21">
        <f t="shared" si="36"/>
        <v>0</v>
      </c>
      <c r="AO39" s="21">
        <f t="shared" si="37"/>
        <v>0</v>
      </c>
      <c r="AP39" s="58">
        <f t="shared" si="39"/>
        <v>0</v>
      </c>
      <c r="BD39" s="58"/>
      <c r="BO39" s="84" t="str">
        <f t="shared" si="6"/>
        <v>Reiser/konferanser/mv.</v>
      </c>
      <c r="BP39" s="176">
        <f t="shared" si="40"/>
        <v>0</v>
      </c>
      <c r="BQ39" s="21">
        <f t="shared" si="41"/>
        <v>0</v>
      </c>
      <c r="BR39" s="21">
        <f t="shared" si="42"/>
        <v>0</v>
      </c>
      <c r="BS39" s="21">
        <f t="shared" si="43"/>
        <v>0</v>
      </c>
      <c r="BT39" s="137">
        <f t="shared" si="44"/>
        <v>0</v>
      </c>
      <c r="BV39" s="84" t="str">
        <f t="shared" si="9"/>
        <v>Reiser/konferanser/mv.</v>
      </c>
      <c r="BW39" s="21">
        <f t="shared" si="45"/>
        <v>0</v>
      </c>
      <c r="BX39" s="21">
        <f t="shared" si="46"/>
        <v>0</v>
      </c>
      <c r="BY39" s="21">
        <f t="shared" si="46"/>
        <v>0</v>
      </c>
      <c r="BZ39" s="21">
        <f t="shared" si="46"/>
        <v>0</v>
      </c>
      <c r="CA39" s="58">
        <f t="shared" si="47"/>
        <v>0</v>
      </c>
    </row>
    <row r="40" spans="1:79" ht="15" x14ac:dyDescent="0.25">
      <c r="A40" s="269" t="s">
        <v>99</v>
      </c>
      <c r="B40" s="24"/>
      <c r="C40" s="360" t="s">
        <v>55</v>
      </c>
      <c r="D40" s="27"/>
      <c r="E40" s="368"/>
      <c r="F40" s="330"/>
      <c r="G40" s="330"/>
      <c r="H40" s="330"/>
      <c r="I40" s="330"/>
      <c r="J40" s="40"/>
      <c r="K40" s="40"/>
      <c r="L40" s="40"/>
      <c r="M40" s="22">
        <f t="shared" si="38"/>
        <v>0</v>
      </c>
      <c r="AL40" s="184">
        <f t="shared" si="34"/>
        <v>0</v>
      </c>
      <c r="AM40" s="21">
        <f t="shared" si="35"/>
        <v>0</v>
      </c>
      <c r="AN40" s="21">
        <f t="shared" si="36"/>
        <v>0</v>
      </c>
      <c r="AO40" s="21">
        <f t="shared" si="37"/>
        <v>0</v>
      </c>
      <c r="AP40" s="58">
        <f t="shared" si="39"/>
        <v>0</v>
      </c>
      <c r="BD40" s="58"/>
      <c r="BO40" s="84" t="str">
        <f t="shared" si="6"/>
        <v>Andre driftskostnader</v>
      </c>
      <c r="BP40" s="176">
        <f t="shared" si="40"/>
        <v>0</v>
      </c>
      <c r="BQ40" s="21">
        <f t="shared" si="41"/>
        <v>0</v>
      </c>
      <c r="BR40" s="21">
        <f t="shared" si="42"/>
        <v>0</v>
      </c>
      <c r="BS40" s="21">
        <f t="shared" si="43"/>
        <v>0</v>
      </c>
      <c r="BT40" s="137">
        <f t="shared" si="44"/>
        <v>0</v>
      </c>
      <c r="BV40" s="84" t="str">
        <f t="shared" si="9"/>
        <v>Andre driftskostnader</v>
      </c>
      <c r="BW40" s="21">
        <f t="shared" si="45"/>
        <v>0</v>
      </c>
      <c r="BX40" s="21">
        <f t="shared" si="46"/>
        <v>0</v>
      </c>
      <c r="BY40" s="21">
        <f t="shared" si="46"/>
        <v>0</v>
      </c>
      <c r="BZ40" s="21">
        <f t="shared" si="46"/>
        <v>0</v>
      </c>
      <c r="CA40" s="58">
        <f t="shared" si="47"/>
        <v>0</v>
      </c>
    </row>
    <row r="41" spans="1:79" ht="15" x14ac:dyDescent="0.25">
      <c r="A41" s="24" t="s">
        <v>100</v>
      </c>
      <c r="B41" s="24"/>
      <c r="C41" s="134" t="s">
        <v>56</v>
      </c>
      <c r="D41" s="27"/>
      <c r="E41" s="368"/>
      <c r="F41" s="75">
        <f>IF(Leiested!$B$7="Egenandel",Leiested!E7,0)+IF(Leiested!$B$11="Egenandel",Leiested!E11,0)+IF(Leiested!$B$15="Egenandel",Leiested!E15,0)+IF(Leiested!$B$19="Egenandel",Leiested!E19,0)+IF(Leiested!$B$23="Egenandel",Leiested!E23,0)+IF(Leiested!$B$27="Egenandel",Leiested!E27,0)+IF(Leiested!$B$31="Egenandel",Leiested!E31,0)+IF(Leiested!$B$35="Egenandel",Leiested!E35,0)+IF(Leiested!$B$39="Egenandel",Leiested!E39,0)+IF(Leiested!$B$43="Egenandel",Leiested!E43,0)+IF(Leiested!$B$47="Egenandel",Leiested!E47,0)+IF(Leiested!$B$51="Egenandel",Leiested!E51,0)+IF(Leiested!$B$55="Egenandel",Leiested!E55,0)+IF(Leiested!$B$59="Egenandel",Leiested!E59,0)+IF(Leiested!$B$63="Egenandel",Leiested!E63,0)</f>
        <v>0</v>
      </c>
      <c r="G41" s="75">
        <f>IF(Leiested!$B$7="Egenandel",Leiested!F7,0)+IF(Leiested!$B$11="Egenandel",Leiested!F11,0)+IF(Leiested!$B$15="Egenandel",Leiested!F15,0)+IF(Leiested!$B$19="Egenandel",Leiested!F19,0)+IF(Leiested!$B$23="Egenandel",Leiested!F23,0)+IF(Leiested!$B$27="Egenandel",Leiested!F27,0)+IF(Leiested!$B$31="Egenandel",Leiested!F31,0)+IF(Leiested!$B$35="Egenandel",Leiested!F35,0)+IF(Leiested!$B$39="Egenandel",Leiested!F39,0)+IF(Leiested!$B$43="Egenandel",Leiested!F43,0)+IF(Leiested!$B$47="Egenandel",Leiested!F47,0)+IF(Leiested!$B$51="Egenandel",Leiested!F51,0)+IF(Leiested!$B$55="Egenandel",Leiested!F55,0)+IF(Leiested!$B$59="Egenandel",Leiested!F59,0)+IF(Leiested!$B$63="Egenandel",Leiested!F63,0)</f>
        <v>0</v>
      </c>
      <c r="H41" s="75">
        <f>IF(Leiested!$B$7="Egenandel",Leiested!G7,0)+IF(Leiested!$B$11="Egenandel",Leiested!G11,0)+IF(Leiested!$B$15="Egenandel",Leiested!G15,0)+IF(Leiested!$B$19="Egenandel",Leiested!G19,0)+IF(Leiested!$B$23="Egenandel",Leiested!G23,0)+IF(Leiested!$B$27="Egenandel",Leiested!G27,0)+IF(Leiested!$B$31="Egenandel",Leiested!G31,0)+IF(Leiested!$B$35="Egenandel",Leiested!G35,0)+IF(Leiested!$B$39="Egenandel",Leiested!G39,0)+IF(Leiested!$B$43="Egenandel",Leiested!G43,0)+IF(Leiested!$B$47="Egenandel",Leiested!G47,0)+IF(Leiested!$B$51="Egenandel",Leiested!G51,0)+IF(Leiested!$B$55="Egenandel",Leiested!G55,0)+IF(Leiested!$B$59="Egenandel",Leiested!G59,0)+IF(Leiested!$B$63="Egenandel",Leiested!G63,0)</f>
        <v>0</v>
      </c>
      <c r="I41" s="75">
        <f>IF(Leiested!$B$7="Egenandel",Leiested!H7,0)+IF(Leiested!$B$11="Egenandel",Leiested!H11,0)+IF(Leiested!$B$15="Egenandel",Leiested!H15,0)+IF(Leiested!$B$19="Egenandel",Leiested!H19,0)+IF(Leiested!$B$23="Egenandel",Leiested!H23,0)+IF(Leiested!$B$27="Egenandel",Leiested!H27,0)+IF(Leiested!$B$31="Egenandel",Leiested!H31,0)+IF(Leiested!$B$35="Egenandel",Leiested!H35,0)+IF(Leiested!$B$39="Egenandel",Leiested!H39,0)+IF(Leiested!$B$43="Egenandel",Leiested!H43,0)+IF(Leiested!$B$47="Egenandel",Leiested!H47,0)+IF(Leiested!$B$51="Egenandel",Leiested!H51,0)+IF(Leiested!$B$55="Egenandel",Leiested!H55,0)+IF(Leiested!$B$59="Egenandel",Leiested!H59,0)+IF(Leiested!$B$63="Egenandel",Leiested!H63,0)</f>
        <v>0</v>
      </c>
      <c r="J41" s="75"/>
      <c r="K41" s="75"/>
      <c r="L41" s="75"/>
      <c r="M41" s="22">
        <f t="shared" si="38"/>
        <v>0</v>
      </c>
      <c r="AL41" s="21">
        <f t="shared" si="34"/>
        <v>0</v>
      </c>
      <c r="AM41" s="21">
        <f t="shared" si="35"/>
        <v>0</v>
      </c>
      <c r="AN41" s="21">
        <f t="shared" si="36"/>
        <v>0</v>
      </c>
      <c r="AO41" s="21">
        <f t="shared" si="37"/>
        <v>0</v>
      </c>
      <c r="AP41" s="58">
        <f t="shared" si="39"/>
        <v>0</v>
      </c>
      <c r="BC41" s="44"/>
      <c r="BD41" s="109"/>
      <c r="BO41" s="84" t="str">
        <f t="shared" si="6"/>
        <v>Leiested - internt finansiert</v>
      </c>
      <c r="BP41" s="21">
        <f t="shared" si="40"/>
        <v>0</v>
      </c>
      <c r="BQ41" s="21">
        <f t="shared" si="41"/>
        <v>0</v>
      </c>
      <c r="BR41" s="21">
        <f t="shared" si="42"/>
        <v>0</v>
      </c>
      <c r="BS41" s="21">
        <f t="shared" si="43"/>
        <v>0</v>
      </c>
      <c r="BT41" s="137">
        <f t="shared" si="44"/>
        <v>0</v>
      </c>
      <c r="BV41" s="84" t="str">
        <f t="shared" si="9"/>
        <v>Leiested - internt finansiert</v>
      </c>
      <c r="BW41" s="21">
        <f t="shared" si="45"/>
        <v>0</v>
      </c>
      <c r="BX41" s="21">
        <f>IF($C41=$BV$1,AM41,0)</f>
        <v>0</v>
      </c>
      <c r="BY41" s="21">
        <f>IF($C41=$BV$1,AN41,0)</f>
        <v>0</v>
      </c>
      <c r="BZ41" s="21">
        <f>IF($C41=$BV$1,AO41,0)</f>
        <v>0</v>
      </c>
      <c r="CA41" s="58">
        <f t="shared" si="47"/>
        <v>0</v>
      </c>
    </row>
    <row r="42" spans="1:79" ht="15" x14ac:dyDescent="0.25">
      <c r="A42" s="24" t="s">
        <v>101</v>
      </c>
      <c r="B42" s="24"/>
      <c r="C42" s="134" t="s">
        <v>55</v>
      </c>
      <c r="D42" s="27"/>
      <c r="E42" s="368"/>
      <c r="F42" s="75">
        <f>IF(Leiested!$B$7="Egenandel",0,Leiested!E7)+IF(Leiested!$B$11="Egenandel",0,Leiested!E11)+IF(Leiested!$B$15="Egenandel",0,Leiested!E15)+IF(Leiested!$B$19="Egenandel",0,Leiested!E19)+IF(Leiested!$B$23="Egenandel",0,Leiested!E23)+IF(Leiested!$B$27="Egenandel",0,Leiested!E27)+IF(Leiested!$B$31="Egenandel",0,Leiested!E31)+IF(Leiested!$B$35="Egenandel",0,Leiested!E35)+IF(Leiested!$B$39="Egenandel",0,Leiested!E39)+IF(Leiested!$B$43="Egenandel",0,Leiested!E43)+IF(Leiested!$B$47="Egenandel",0,Leiested!E47)+IF(Leiested!$B$51="Egenandel",0,Leiested!E51)+IF(Leiested!$B$55="Egenandel",0,Leiested!E55)+IF(Leiested!$B$59="Egenandel",0,Leiested!E59)+IF(Leiested!$B$63="Egenandel",0,Leiested!E63)</f>
        <v>0</v>
      </c>
      <c r="G42" s="75">
        <f>IF(Leiested!$B$7="Egenandel",0,Leiested!F7)+IF(Leiested!$B$11="Egenandel",0,Leiested!F11)+IF(Leiested!$B$15="Egenandel",0,Leiested!F15)+IF(Leiested!$B$19="Egenandel",0,Leiested!F19)+IF(Leiested!$B$23="Egenandel",0,Leiested!F23)+IF(Leiested!$B$27="Egenandel",0,Leiested!F27)+IF(Leiested!$B$31="Egenandel",0,Leiested!F31)+IF(Leiested!$B$35="Egenandel",0,Leiested!F35)+IF(Leiested!$B$39="Egenandel",0,Leiested!F39)+IF(Leiested!$B$43="Egenandel",0,Leiested!F43)+IF(Leiested!$B$47="Egenandel",0,Leiested!F47)+IF(Leiested!$B$51="Egenandel",0,Leiested!F51)+IF(Leiested!$B$55="Egenandel",0,Leiested!F55)+IF(Leiested!$B$59="Egenandel",0,Leiested!F59)+IF(Leiested!$B$63="Egenandel",0,Leiested!F63)</f>
        <v>0</v>
      </c>
      <c r="H42" s="75">
        <f>IF(Leiested!$B$7="Egenandel",0,Leiested!G7)+IF(Leiested!$B$11="Egenandel",0,Leiested!G11)+IF(Leiested!$B$15="Egenandel",0,Leiested!G15)+IF(Leiested!$B$19="Egenandel",0,Leiested!G19)+IF(Leiested!$B$23="Egenandel",0,Leiested!G23)+IF(Leiested!$B$27="Egenandel",0,Leiested!G27)+IF(Leiested!$B$31="Egenandel",0,Leiested!G31)+IF(Leiested!$B$35="Egenandel",0,Leiested!G35)+IF(Leiested!$B$39="Egenandel",0,Leiested!G39)+IF(Leiested!$B$43="Egenandel",0,Leiested!G43)+IF(Leiested!$B$47="Egenandel",0,Leiested!G47)+IF(Leiested!$B$51="Egenandel",0,Leiested!G51)+IF(Leiested!$B$55="Egenandel",0,Leiested!G55)+IF(Leiested!$B$59="Egenandel",0,Leiested!G59)+IF(Leiested!$B$63="Egenandel",0,Leiested!G63)</f>
        <v>0</v>
      </c>
      <c r="I42" s="75">
        <f>IF(Leiested!$B$7="Egenandel",0,Leiested!H7)+IF(Leiested!$B$11="Egenandel",0,Leiested!H11)+IF(Leiested!$B$15="Egenandel",0,Leiested!H15)+IF(Leiested!$B$19="Egenandel",0,Leiested!H19)+IF(Leiested!$B$23="Egenandel",0,Leiested!H23)+IF(Leiested!$B$27="Egenandel",0,Leiested!H27)+IF(Leiested!$B$31="Egenandel",0,Leiested!H31)+IF(Leiested!$B$35="Egenandel",0,Leiested!H35)+IF(Leiested!$B$39="Egenandel",0,Leiested!H39)+IF(Leiested!$B$43="Egenandel",0,Leiested!H43)+IF(Leiested!$B$47="Egenandel",0,Leiested!H47)+IF(Leiested!$B$51="Egenandel",0,Leiested!H51)+IF(Leiested!$B$55="Egenandel",0,Leiested!H55)+IF(Leiested!$B$59="Egenandel",0,Leiested!H59)+IF(Leiested!$B$63="Egenandel",0,Leiested!H63)</f>
        <v>0</v>
      </c>
      <c r="J42" s="75"/>
      <c r="K42" s="75"/>
      <c r="L42" s="75"/>
      <c r="M42" s="22">
        <f t="shared" si="38"/>
        <v>0</v>
      </c>
      <c r="AB42" s="58"/>
      <c r="AL42" s="21">
        <f t="shared" si="34"/>
        <v>0</v>
      </c>
      <c r="AM42" s="21">
        <f t="shared" si="35"/>
        <v>0</v>
      </c>
      <c r="AN42" s="21">
        <f t="shared" si="36"/>
        <v>0</v>
      </c>
      <c r="AO42" s="21">
        <f t="shared" si="37"/>
        <v>0</v>
      </c>
      <c r="AP42" s="58">
        <f t="shared" si="39"/>
        <v>0</v>
      </c>
      <c r="BD42" s="58"/>
      <c r="BO42" s="84" t="str">
        <f t="shared" si="6"/>
        <v>Leiested - eksternt finansiert</v>
      </c>
      <c r="BP42" s="176">
        <f t="shared" si="40"/>
        <v>0</v>
      </c>
      <c r="BQ42" s="21">
        <f t="shared" si="41"/>
        <v>0</v>
      </c>
      <c r="BR42" s="21">
        <f t="shared" si="42"/>
        <v>0</v>
      </c>
      <c r="BS42" s="21">
        <f t="shared" si="43"/>
        <v>0</v>
      </c>
      <c r="BT42" s="137">
        <f t="shared" si="44"/>
        <v>0</v>
      </c>
      <c r="BV42" s="84" t="str">
        <f t="shared" si="9"/>
        <v>Leiested - eksternt finansiert</v>
      </c>
      <c r="BW42" s="21">
        <f t="shared" si="45"/>
        <v>0</v>
      </c>
      <c r="BX42" s="21">
        <f t="shared" ref="BX42:BZ46" si="48">IF($C42=$BV$1,-AM42,0)</f>
        <v>0</v>
      </c>
      <c r="BY42" s="21">
        <f t="shared" si="48"/>
        <v>0</v>
      </c>
      <c r="BZ42" s="21">
        <f t="shared" si="48"/>
        <v>0</v>
      </c>
      <c r="CA42" s="58">
        <f t="shared" si="47"/>
        <v>0</v>
      </c>
    </row>
    <row r="43" spans="1:79" ht="15" x14ac:dyDescent="0.25">
      <c r="A43" s="269" t="s">
        <v>102</v>
      </c>
      <c r="B43" s="24"/>
      <c r="C43" s="134" t="s">
        <v>55</v>
      </c>
      <c r="D43" s="27"/>
      <c r="E43" s="368"/>
      <c r="F43" s="330"/>
      <c r="G43" s="330"/>
      <c r="H43" s="330"/>
      <c r="I43" s="330"/>
      <c r="J43" s="75"/>
      <c r="K43" s="75"/>
      <c r="L43" s="75"/>
      <c r="M43" s="22">
        <f t="shared" si="38"/>
        <v>0</v>
      </c>
      <c r="AL43" s="21">
        <f t="shared" si="34"/>
        <v>0</v>
      </c>
      <c r="AM43" s="21">
        <f t="shared" si="35"/>
        <v>0</v>
      </c>
      <c r="AN43" s="21">
        <f t="shared" si="36"/>
        <v>0</v>
      </c>
      <c r="AO43" s="21">
        <f t="shared" si="37"/>
        <v>0</v>
      </c>
      <c r="AP43" s="58">
        <f t="shared" si="39"/>
        <v>0</v>
      </c>
      <c r="BD43" s="58"/>
      <c r="BO43" s="84" t="str">
        <f t="shared" si="6"/>
        <v>Publikasjoner</v>
      </c>
      <c r="BP43" s="176">
        <f t="shared" si="40"/>
        <v>0</v>
      </c>
      <c r="BQ43" s="21">
        <f t="shared" si="41"/>
        <v>0</v>
      </c>
      <c r="BR43" s="21">
        <f t="shared" si="42"/>
        <v>0</v>
      </c>
      <c r="BS43" s="21">
        <f t="shared" si="43"/>
        <v>0</v>
      </c>
      <c r="BT43" s="137">
        <f t="shared" si="44"/>
        <v>0</v>
      </c>
      <c r="BV43" s="84" t="str">
        <f t="shared" si="9"/>
        <v>Publikasjoner</v>
      </c>
      <c r="BW43" s="21">
        <f t="shared" si="45"/>
        <v>0</v>
      </c>
      <c r="BX43" s="21">
        <f t="shared" si="48"/>
        <v>0</v>
      </c>
      <c r="BY43" s="21">
        <f t="shared" si="48"/>
        <v>0</v>
      </c>
      <c r="BZ43" s="21">
        <f t="shared" si="48"/>
        <v>0</v>
      </c>
      <c r="CA43" s="58">
        <f t="shared" si="47"/>
        <v>0</v>
      </c>
    </row>
    <row r="44" spans="1:79" ht="15" x14ac:dyDescent="0.25">
      <c r="A44" s="269" t="s">
        <v>103</v>
      </c>
      <c r="B44" s="24"/>
      <c r="C44" s="360" t="s">
        <v>55</v>
      </c>
      <c r="D44" s="27"/>
      <c r="E44" s="368"/>
      <c r="F44" s="330"/>
      <c r="G44" s="330"/>
      <c r="H44" s="330"/>
      <c r="I44" s="330"/>
      <c r="J44" s="41"/>
      <c r="K44" s="41"/>
      <c r="L44" s="41"/>
      <c r="M44" s="22">
        <f t="shared" si="38"/>
        <v>0</v>
      </c>
      <c r="AL44" s="184">
        <f t="shared" si="34"/>
        <v>0</v>
      </c>
      <c r="AM44" s="21">
        <f t="shared" si="35"/>
        <v>0</v>
      </c>
      <c r="AN44" s="21">
        <f t="shared" si="36"/>
        <v>0</v>
      </c>
      <c r="AO44" s="21">
        <f t="shared" si="37"/>
        <v>0</v>
      </c>
      <c r="AP44" s="58">
        <f t="shared" si="39"/>
        <v>0</v>
      </c>
      <c r="BD44" s="58"/>
      <c r="BO44" s="84" t="str">
        <f t="shared" si="6"/>
        <v>Innkjøp av FoU-tjenester/ Subcontracting</v>
      </c>
      <c r="BP44" s="176">
        <f t="shared" si="40"/>
        <v>0</v>
      </c>
      <c r="BQ44" s="21">
        <f t="shared" si="41"/>
        <v>0</v>
      </c>
      <c r="BR44" s="21">
        <f t="shared" si="42"/>
        <v>0</v>
      </c>
      <c r="BS44" s="21">
        <f t="shared" si="43"/>
        <v>0</v>
      </c>
      <c r="BT44" s="137">
        <f t="shared" si="44"/>
        <v>0</v>
      </c>
      <c r="BV44" s="84" t="str">
        <f t="shared" si="9"/>
        <v>Innkjøp av FoU-tjenester/ Subcontracting</v>
      </c>
      <c r="BW44" s="21">
        <f t="shared" si="45"/>
        <v>0</v>
      </c>
      <c r="BX44" s="21">
        <f t="shared" si="48"/>
        <v>0</v>
      </c>
      <c r="BY44" s="21">
        <f t="shared" si="48"/>
        <v>0</v>
      </c>
      <c r="BZ44" s="21">
        <f t="shared" si="48"/>
        <v>0</v>
      </c>
      <c r="CA44" s="58">
        <f t="shared" si="47"/>
        <v>0</v>
      </c>
    </row>
    <row r="45" spans="1:79" ht="15" x14ac:dyDescent="0.25">
      <c r="A45" s="269" t="s">
        <v>104</v>
      </c>
      <c r="B45" s="325" t="s">
        <v>105</v>
      </c>
      <c r="C45" s="360" t="s">
        <v>55</v>
      </c>
      <c r="D45" s="27"/>
      <c r="E45" s="368"/>
      <c r="F45" s="330"/>
      <c r="G45" s="330"/>
      <c r="H45" s="330"/>
      <c r="I45" s="330"/>
      <c r="J45" s="93"/>
      <c r="K45" s="93"/>
      <c r="L45" s="93"/>
      <c r="M45" s="22">
        <f t="shared" si="38"/>
        <v>0</v>
      </c>
      <c r="AL45" s="184">
        <f t="shared" si="34"/>
        <v>0</v>
      </c>
      <c r="AM45" s="21">
        <f t="shared" si="35"/>
        <v>0</v>
      </c>
      <c r="AN45" s="21">
        <f t="shared" si="36"/>
        <v>0</v>
      </c>
      <c r="AO45" s="21">
        <f t="shared" si="37"/>
        <v>0</v>
      </c>
      <c r="AP45" s="58">
        <f t="shared" si="39"/>
        <v>0</v>
      </c>
      <c r="BD45" s="58"/>
      <c r="BO45" s="84" t="str">
        <f t="shared" si="6"/>
        <v>Viderefordelte midler</v>
      </c>
      <c r="BP45" s="176">
        <f t="shared" si="40"/>
        <v>0</v>
      </c>
      <c r="BQ45" s="21">
        <f t="shared" si="41"/>
        <v>0</v>
      </c>
      <c r="BR45" s="21">
        <f t="shared" si="42"/>
        <v>0</v>
      </c>
      <c r="BS45" s="21">
        <f t="shared" si="43"/>
        <v>0</v>
      </c>
      <c r="BT45" s="137">
        <f t="shared" si="44"/>
        <v>0</v>
      </c>
      <c r="BV45" s="84" t="str">
        <f t="shared" si="9"/>
        <v>Viderefordelte midler</v>
      </c>
      <c r="BW45" s="21">
        <f>IF($C45=$BV$1,-AL45,0)</f>
        <v>0</v>
      </c>
      <c r="BX45" s="21">
        <f t="shared" si="48"/>
        <v>0</v>
      </c>
      <c r="BY45" s="21">
        <f t="shared" si="48"/>
        <v>0</v>
      </c>
      <c r="BZ45" s="21">
        <f t="shared" si="48"/>
        <v>0</v>
      </c>
      <c r="CA45" s="58">
        <f t="shared" si="47"/>
        <v>0</v>
      </c>
    </row>
    <row r="46" spans="1:79" ht="15" x14ac:dyDescent="0.25">
      <c r="A46" s="269" t="s">
        <v>106</v>
      </c>
      <c r="B46" s="24"/>
      <c r="C46" s="369" t="s">
        <v>55</v>
      </c>
      <c r="D46" s="27"/>
      <c r="E46" s="368"/>
      <c r="F46" s="330"/>
      <c r="G46" s="330"/>
      <c r="H46" s="330"/>
      <c r="I46" s="330"/>
      <c r="J46" s="39"/>
      <c r="K46" s="39"/>
      <c r="L46" s="39"/>
      <c r="M46" s="39">
        <f t="shared" si="38"/>
        <v>0</v>
      </c>
      <c r="AL46" s="184">
        <f t="shared" si="34"/>
        <v>0</v>
      </c>
      <c r="AM46" s="21">
        <f t="shared" si="35"/>
        <v>0</v>
      </c>
      <c r="AN46" s="21">
        <f t="shared" si="36"/>
        <v>0</v>
      </c>
      <c r="AO46" s="21">
        <f t="shared" si="37"/>
        <v>0</v>
      </c>
      <c r="AP46" s="58">
        <f t="shared" si="39"/>
        <v>0</v>
      </c>
      <c r="BD46" s="58"/>
      <c r="BO46" s="84" t="str">
        <f t="shared" si="6"/>
        <v>Investeringer (utstyr)</v>
      </c>
      <c r="BP46" s="176">
        <f t="shared" si="40"/>
        <v>0</v>
      </c>
      <c r="BQ46" s="21">
        <f t="shared" si="41"/>
        <v>0</v>
      </c>
      <c r="BR46" s="21">
        <f t="shared" si="42"/>
        <v>0</v>
      </c>
      <c r="BS46" s="21">
        <f t="shared" si="43"/>
        <v>0</v>
      </c>
      <c r="BT46" s="137">
        <f t="shared" si="44"/>
        <v>0</v>
      </c>
      <c r="BV46" s="84" t="str">
        <f t="shared" si="9"/>
        <v>Investeringer (utstyr)</v>
      </c>
      <c r="BW46" s="21">
        <f>IF($C46=$BV$1,-AL46,0)</f>
        <v>0</v>
      </c>
      <c r="BX46" s="21">
        <f t="shared" si="48"/>
        <v>0</v>
      </c>
      <c r="BY46" s="21">
        <f t="shared" si="48"/>
        <v>0</v>
      </c>
      <c r="BZ46" s="21">
        <f t="shared" si="48"/>
        <v>0</v>
      </c>
      <c r="CA46" s="58">
        <f t="shared" si="47"/>
        <v>0</v>
      </c>
    </row>
    <row r="47" spans="1:79" ht="15" x14ac:dyDescent="0.25">
      <c r="A47" s="31" t="s">
        <v>45</v>
      </c>
      <c r="B47" s="31"/>
      <c r="C47" s="31"/>
      <c r="D47" s="31"/>
      <c r="E47" s="32"/>
      <c r="F47" s="32">
        <f>SUM(F38:F46)</f>
        <v>0</v>
      </c>
      <c r="G47" s="32">
        <f>SUM(G38:G46)</f>
        <v>0</v>
      </c>
      <c r="H47" s="32">
        <f>SUM(H38:H46)</f>
        <v>0</v>
      </c>
      <c r="I47" s="32">
        <f>SUM(I38:I46)</f>
        <v>0</v>
      </c>
      <c r="J47" s="38"/>
      <c r="K47" s="38"/>
      <c r="L47" s="38"/>
      <c r="M47" s="38">
        <f>SUM(M38:M46)</f>
        <v>0</v>
      </c>
      <c r="AK47" s="58">
        <f>(AL12+AL47-AL44)*0.25+AL47+AL12</f>
        <v>0</v>
      </c>
      <c r="AL47" s="25">
        <f>SUM(AL38:AL46)</f>
        <v>0</v>
      </c>
      <c r="AM47" s="25">
        <f>SUM(AM38:AM46)</f>
        <v>0</v>
      </c>
      <c r="AN47" s="25">
        <f>SUM(AN38:AN46)</f>
        <v>0</v>
      </c>
      <c r="AO47" s="25">
        <f>SUM(AO38:AO46)</f>
        <v>0</v>
      </c>
      <c r="AP47" s="58">
        <f t="shared" si="39"/>
        <v>0</v>
      </c>
      <c r="BD47" s="58"/>
      <c r="BO47" s="84" t="str">
        <f t="shared" si="6"/>
        <v>Sum</v>
      </c>
      <c r="BP47" s="21">
        <f>SUM(BP38:BP46)</f>
        <v>0</v>
      </c>
      <c r="BQ47" s="21">
        <f>SUM(BQ38:BQ46)</f>
        <v>0</v>
      </c>
      <c r="BR47" s="21">
        <f>SUM(BR38:BR46)</f>
        <v>0</v>
      </c>
      <c r="BS47" s="21">
        <f>SUM(BS38:BS46)</f>
        <v>0</v>
      </c>
      <c r="BT47" s="137">
        <f t="shared" si="44"/>
        <v>0</v>
      </c>
      <c r="BV47" s="84" t="str">
        <f t="shared" si="9"/>
        <v>Sum</v>
      </c>
      <c r="BW47" s="25">
        <f>SUM(BW38:BW46)</f>
        <v>0</v>
      </c>
      <c r="BX47" s="25">
        <f>SUM(BX38:BX46)</f>
        <v>0</v>
      </c>
      <c r="BY47" s="25">
        <f>SUM(BY38:BY46)</f>
        <v>0</v>
      </c>
      <c r="BZ47" s="25">
        <f>SUM(BZ38:BZ46)</f>
        <v>0</v>
      </c>
      <c r="CA47" s="109">
        <f t="shared" si="47"/>
        <v>0</v>
      </c>
    </row>
    <row r="48" spans="1:79" x14ac:dyDescent="0.2">
      <c r="AL48" s="58"/>
      <c r="BD48" s="58"/>
      <c r="BO48" s="84"/>
      <c r="BP48" s="58"/>
      <c r="BQ48" s="58"/>
      <c r="BR48" s="58"/>
      <c r="BS48" s="58"/>
      <c r="BT48" s="58"/>
      <c r="BV48" s="84">
        <f t="shared" si="9"/>
        <v>0</v>
      </c>
      <c r="BW48" s="58"/>
      <c r="BX48" s="58"/>
      <c r="BY48" s="58"/>
      <c r="BZ48" s="58"/>
      <c r="CA48" s="58"/>
    </row>
    <row r="49" spans="1:79" ht="15" x14ac:dyDescent="0.25">
      <c r="A49" s="31" t="s">
        <v>107</v>
      </c>
      <c r="B49" s="31"/>
      <c r="C49" s="31"/>
      <c r="D49" s="31"/>
      <c r="E49" s="32" t="str">
        <f>Registrering!C26</f>
        <v>Fast beløp</v>
      </c>
      <c r="F49" s="32">
        <f>Finansiering!C7</f>
        <v>0</v>
      </c>
      <c r="G49" s="32">
        <f>Finansiering!D7</f>
        <v>0</v>
      </c>
      <c r="H49" s="32">
        <f>Finansiering!E7</f>
        <v>0</v>
      </c>
      <c r="I49" s="32">
        <f>Finansiering!F7</f>
        <v>0</v>
      </c>
      <c r="J49" s="38"/>
      <c r="K49" s="38"/>
      <c r="L49" s="38"/>
      <c r="M49" s="38">
        <f>SUM(F49:I49)</f>
        <v>0</v>
      </c>
      <c r="AL49" s="58">
        <f>AL12+AL20+AL47+AQ35</f>
        <v>0</v>
      </c>
      <c r="AM49" s="45" t="s">
        <v>108</v>
      </c>
      <c r="BD49" s="58"/>
      <c r="BO49" s="58" t="e">
        <f>SUM(BO38:BO46)+SUM(#REF!)+SUM(BO31:BO33)+SUM(BO15:BO19)+SUM(BO4:BO11)</f>
        <v>#REF!</v>
      </c>
      <c r="BP49" s="58">
        <f>SUM(BP38:BP46)+SUM(BP31:BP33)+SUM(BP15:BP19)+SUM(BP4:BP11)</f>
        <v>0</v>
      </c>
      <c r="BQ49" s="58">
        <f>SUM(BQ38:BQ46)+SUM(BQ31:BQ33)+SUM(BQ15:BQ19)+SUM(BQ4:BQ11)</f>
        <v>0</v>
      </c>
      <c r="BR49" s="58">
        <f>SUM(BR38:BR46)+SUM(BR31:BR33)+SUM(BR15:BR19)+SUM(BR4:BR11)</f>
        <v>0</v>
      </c>
      <c r="BS49" s="58">
        <f>SUM(BS38:BS46)+SUM(BS31:BS33)+SUM(BS15:BS19)+SUM(BS4:BS11)</f>
        <v>0</v>
      </c>
      <c r="BT49" s="58">
        <f>SUM(BT38:BT46)+SUM(BT31:BT33)+SUM(BT15:BT19)+SUM(BT4:BT11)</f>
        <v>0</v>
      </c>
      <c r="BV49" s="84" t="str">
        <f t="shared" si="9"/>
        <v>Eksterne inntekter</v>
      </c>
      <c r="BW49" s="58">
        <f>SUM(BW38:BW46)+SUM(BW31:BW33)+SUM(BW15:BW19)+SUM(BW4:BW11)</f>
        <v>0</v>
      </c>
      <c r="BX49" s="58">
        <f>SUM(BX38:BX46)+SUM(BX31:BX33)+SUM(BX15:BX19)+SUM(BX4:BX11)</f>
        <v>0</v>
      </c>
      <c r="BY49" s="58">
        <f>SUM(BY38:BY46)+SUM(BY31:BY33)+SUM(BY15:BY19)+SUM(BY4:BY11)</f>
        <v>0</v>
      </c>
      <c r="BZ49" s="58">
        <f>SUM(BZ38:BZ46)+SUM(BZ31:BZ33)+SUM(BZ15:BZ19)+SUM(BZ4:BZ11)</f>
        <v>0</v>
      </c>
      <c r="CA49" s="58">
        <f>SUM(CA38:CA46)+SUM(CA31:CA33)+SUM(CA15:CA19)+SUM(CA4:CA11)</f>
        <v>0</v>
      </c>
    </row>
    <row r="50" spans="1:79" ht="15" x14ac:dyDescent="0.25">
      <c r="A50" s="31" t="s">
        <v>56</v>
      </c>
      <c r="B50" s="31"/>
      <c r="C50" s="31"/>
      <c r="D50" s="31"/>
      <c r="E50" s="32" t="str">
        <f>Registrering!C25</f>
        <v>Kostnadsspesifikk</v>
      </c>
      <c r="F50" s="32">
        <f>BI6</f>
        <v>0</v>
      </c>
      <c r="G50" s="32">
        <f>BJ6</f>
        <v>0</v>
      </c>
      <c r="H50" s="32">
        <f>BK6</f>
        <v>0</v>
      </c>
      <c r="I50" s="32">
        <f>BL6</f>
        <v>0</v>
      </c>
      <c r="J50" s="38"/>
      <c r="K50" s="38"/>
      <c r="L50" s="38"/>
      <c r="M50" s="38">
        <f>SUM(F50:I50)</f>
        <v>0</v>
      </c>
      <c r="AL50" s="58">
        <f>AL12+AL20+AL47-AL41</f>
        <v>0</v>
      </c>
      <c r="AM50" s="58" t="s">
        <v>109</v>
      </c>
      <c r="BD50" s="58"/>
      <c r="BO50" s="84"/>
      <c r="BP50" s="45">
        <f>BP49*1.25</f>
        <v>0</v>
      </c>
      <c r="BQ50" s="45">
        <f>BQ49*1.25</f>
        <v>0</v>
      </c>
      <c r="BR50" s="45">
        <f>BR49*1.25</f>
        <v>0</v>
      </c>
      <c r="BS50" s="45">
        <f>BS49*1.25</f>
        <v>0</v>
      </c>
      <c r="BT50" s="61"/>
      <c r="BV50" s="84"/>
      <c r="CA50" s="61"/>
    </row>
    <row r="51" spans="1:79" ht="15" x14ac:dyDescent="0.25">
      <c r="A51" s="31" t="s">
        <v>83</v>
      </c>
      <c r="B51" s="31"/>
      <c r="C51" s="31"/>
      <c r="D51" s="31"/>
      <c r="E51" s="32"/>
      <c r="F51" s="32">
        <f>BI4</f>
        <v>0</v>
      </c>
      <c r="G51" s="32">
        <f>BJ4</f>
        <v>0</v>
      </c>
      <c r="H51" s="32">
        <f>BK4</f>
        <v>0</v>
      </c>
      <c r="I51" s="32">
        <f>BL4</f>
        <v>0</v>
      </c>
      <c r="J51" s="38"/>
      <c r="K51" s="38"/>
      <c r="L51" s="38"/>
      <c r="M51" s="38">
        <f>SUM(F51:I51)</f>
        <v>0</v>
      </c>
      <c r="AK51" s="58"/>
      <c r="AL51" s="58">
        <f>AL50*1.25</f>
        <v>0</v>
      </c>
      <c r="AM51" s="58" t="s">
        <v>110</v>
      </c>
      <c r="BD51" s="58"/>
      <c r="BP51" s="61"/>
      <c r="BQ51" s="61"/>
      <c r="BR51" s="61"/>
      <c r="BS51" s="61"/>
      <c r="BT51" s="61"/>
      <c r="BW51" s="61"/>
      <c r="BX51" s="61"/>
      <c r="BY51" s="61"/>
      <c r="BZ51" s="61"/>
      <c r="CA51" s="61"/>
    </row>
    <row r="52" spans="1:79" ht="15" x14ac:dyDescent="0.25">
      <c r="A52" s="31" t="s">
        <v>111</v>
      </c>
      <c r="B52" s="31"/>
      <c r="C52" s="31"/>
      <c r="D52" s="31"/>
      <c r="E52" s="32"/>
      <c r="F52" s="32">
        <f>SUM(F49:F51)</f>
        <v>0</v>
      </c>
      <c r="G52" s="32">
        <f>SUM(G49:G51)</f>
        <v>0</v>
      </c>
      <c r="H52" s="32">
        <f>SUM(H49:H51)</f>
        <v>0</v>
      </c>
      <c r="I52" s="32">
        <f>SUM(I49:I51)</f>
        <v>0</v>
      </c>
      <c r="J52" s="38"/>
      <c r="K52" s="38"/>
      <c r="L52" s="38"/>
      <c r="M52" s="32">
        <f>SUM(M49:M51)</f>
        <v>0</v>
      </c>
      <c r="AL52" s="58">
        <f>AL49-AL51</f>
        <v>0</v>
      </c>
      <c r="AM52" s="58"/>
      <c r="BD52" s="58"/>
      <c r="BO52" s="84"/>
      <c r="BV52" s="84"/>
    </row>
    <row r="53" spans="1:79" ht="21" x14ac:dyDescent="0.35">
      <c r="F53" s="57" t="s">
        <v>112</v>
      </c>
      <c r="BD53" s="58"/>
      <c r="BO53" s="84"/>
      <c r="BV53" s="84"/>
    </row>
    <row r="54" spans="1:79" ht="15" x14ac:dyDescent="0.25">
      <c r="A54" s="335" t="s">
        <v>113</v>
      </c>
      <c r="B54" s="335"/>
      <c r="F54" s="334" t="s">
        <v>114</v>
      </c>
      <c r="G54" s="183">
        <f>AU55</f>
        <v>0</v>
      </c>
      <c r="AP54" s="45" t="s">
        <v>115</v>
      </c>
      <c r="AQ54" s="237"/>
      <c r="BD54" s="58"/>
      <c r="BO54" s="84"/>
      <c r="BV54" s="84"/>
    </row>
    <row r="55" spans="1:79" ht="15" x14ac:dyDescent="0.25">
      <c r="A55" s="370" t="s">
        <v>53</v>
      </c>
      <c r="B55" s="370"/>
      <c r="F55" s="334" t="s">
        <v>114</v>
      </c>
      <c r="G55" s="183" t="str">
        <f>IFERROR(-(M49+K12+K20+M47-M41)/(K12+K20+K34),"")</f>
        <v/>
      </c>
      <c r="H55" s="182"/>
      <c r="I55" s="335"/>
      <c r="J55" s="126"/>
      <c r="L55" s="181"/>
      <c r="AP55" s="138" t="s">
        <v>116</v>
      </c>
      <c r="AQ55" s="144" t="str">
        <f>AQ63</f>
        <v/>
      </c>
      <c r="AR55" s="144" t="str">
        <f>AR63</f>
        <v/>
      </c>
      <c r="AS55" s="144" t="str">
        <f>AS63</f>
        <v/>
      </c>
      <c r="AT55" s="144" t="str">
        <f>AT63</f>
        <v/>
      </c>
      <c r="AU55" s="274">
        <f>IFERROR(AQ55*(AQ57+AQ60)/AU61,0)+IFERROR(AR55*(AR57+AR60)/AU61,0)+IFERROR(AS55*(AS57+AS60)/AU61,0)+IFERROR(AT55*(AT57+AT60)/AU61,0)</f>
        <v>0</v>
      </c>
      <c r="AW55" s="130" t="e">
        <f>-(F49+(F47-F41)+AL12+AL20+AL34)/(AL12+AL20+AL34)</f>
        <v>#DIV/0!</v>
      </c>
      <c r="AX55" s="130" t="e">
        <f>-(G49+(G47-G41)+AM12+AM20+AM34)/(AM12+AM20+AM34)</f>
        <v>#DIV/0!</v>
      </c>
      <c r="AY55" s="130" t="e">
        <f>-(H49+(H47-H41)+AN12+AN20+AN34)/(AN12+AN20+AN34)</f>
        <v>#DIV/0!</v>
      </c>
      <c r="AZ55" s="130" t="e">
        <f>-(I49+(I47-I41)+AO12+AO20+AO34)/(AO12+AO20+AO34)</f>
        <v>#DIV/0!</v>
      </c>
      <c r="BD55" s="58"/>
      <c r="BO55" s="84"/>
      <c r="BV55" s="84"/>
    </row>
    <row r="56" spans="1:79" ht="15" x14ac:dyDescent="0.25">
      <c r="AP56" s="145" t="s">
        <v>117</v>
      </c>
      <c r="AQ56" s="94">
        <f>SUMIF($A$4:$A$27,$AP$56,F4:F27)</f>
        <v>0</v>
      </c>
      <c r="AR56" s="94">
        <f>SUMIF($A$4:$A$27,$AP$56,G4:G27)</f>
        <v>0</v>
      </c>
      <c r="AS56" s="94">
        <f>SUMIF($A$4:$A$27,$AP$56,H4:H27)</f>
        <v>0</v>
      </c>
      <c r="AT56" s="94">
        <f>SUMIF($A$4:$A$27,$AP$56,I4:I27)</f>
        <v>0</v>
      </c>
      <c r="AU56" s="45" t="s">
        <v>118</v>
      </c>
      <c r="BD56" s="58"/>
      <c r="BO56" s="84"/>
      <c r="BV56" s="84"/>
    </row>
    <row r="57" spans="1:79" ht="15.75" x14ac:dyDescent="0.25">
      <c r="A57" s="149" t="s">
        <v>119</v>
      </c>
      <c r="B57" s="262"/>
      <c r="C57" s="150"/>
      <c r="D57" s="150"/>
      <c r="E57" s="150"/>
      <c r="F57" s="371" t="s">
        <v>120</v>
      </c>
      <c r="G57" s="151">
        <f>'Intern oversikt'!G26</f>
        <v>0</v>
      </c>
      <c r="L57" s="61"/>
      <c r="AP57" s="145" t="s">
        <v>117</v>
      </c>
      <c r="AQ57" s="94">
        <f>SUMIF($A$4:$A$27,$AP$57,AL4:AL27)</f>
        <v>0</v>
      </c>
      <c r="AR57" s="94">
        <f>SUMIF($A$4:$A$27,$AP$57,AM4:AM27)</f>
        <v>0</v>
      </c>
      <c r="AS57" s="94">
        <f>SUMIF($A$4:$A$27,$AP$57,AN4:AN27)</f>
        <v>0</v>
      </c>
      <c r="AT57" s="94">
        <f>SUMIF($A$4:$A$27,$AP$57,AO4:AO27)</f>
        <v>0</v>
      </c>
      <c r="AU57" s="45">
        <f>SUM(AQ57:AT57)</f>
        <v>0</v>
      </c>
      <c r="BD57" s="58"/>
      <c r="BO57" s="84"/>
      <c r="BV57" s="84"/>
    </row>
    <row r="58" spans="1:79" ht="15.75" x14ac:dyDescent="0.25">
      <c r="A58" s="152" t="s">
        <v>121</v>
      </c>
      <c r="B58" s="263"/>
      <c r="C58" s="94"/>
      <c r="D58" s="94"/>
      <c r="E58" s="94"/>
      <c r="F58" s="94"/>
      <c r="G58" s="372"/>
      <c r="H58" s="373"/>
      <c r="I58" s="373"/>
      <c r="J58" s="185"/>
      <c r="AP58" s="139"/>
      <c r="AQ58" s="64">
        <f>IFERROR(((AQ56*Tabeller!$J$14)/Budsjett!AQ57),0)</f>
        <v>0</v>
      </c>
      <c r="AR58" s="64">
        <f>IFERROR(((AR56*Tabeller!$J$14)/Budsjett!AR57),0)</f>
        <v>0</v>
      </c>
      <c r="AS58" s="64">
        <f>IFERROR(((AS56*Tabeller!$J$14)/Budsjett!AS57),0)</f>
        <v>0</v>
      </c>
      <c r="AT58" s="64"/>
      <c r="BD58" s="58"/>
      <c r="BO58" s="84"/>
      <c r="BV58" s="84"/>
    </row>
    <row r="59" spans="1:79" ht="15.75" x14ac:dyDescent="0.25">
      <c r="A59" s="153" t="s">
        <v>122</v>
      </c>
      <c r="B59" s="264"/>
      <c r="C59" s="147"/>
      <c r="D59" s="154"/>
      <c r="E59" s="147"/>
      <c r="F59" s="147"/>
      <c r="G59" s="155">
        <f>G57-G58</f>
        <v>0</v>
      </c>
      <c r="AP59" s="139" t="s">
        <v>123</v>
      </c>
      <c r="AQ59" s="146">
        <f>F35-AQ56</f>
        <v>0</v>
      </c>
      <c r="AR59" s="146">
        <f>G35-AR56</f>
        <v>0</v>
      </c>
      <c r="AS59" s="146">
        <f>H35-AS56</f>
        <v>0</v>
      </c>
      <c r="AT59" s="146">
        <f>I35-AT56</f>
        <v>0</v>
      </c>
      <c r="BD59" s="58"/>
      <c r="BO59" s="84"/>
      <c r="BV59" s="84"/>
    </row>
    <row r="60" spans="1:79" x14ac:dyDescent="0.2">
      <c r="K60" s="61"/>
      <c r="AP60" s="139" t="s">
        <v>124</v>
      </c>
      <c r="AQ60" s="110">
        <f>AL35-AQ57</f>
        <v>0</v>
      </c>
      <c r="AR60" s="110">
        <f>AM35-AR57</f>
        <v>0</v>
      </c>
      <c r="AS60" s="110">
        <f>AN35-AS57</f>
        <v>0</v>
      </c>
      <c r="AT60" s="110">
        <f>AO35-AT57</f>
        <v>0</v>
      </c>
      <c r="AU60" s="58">
        <f>SUM(AQ60:AT60)</f>
        <v>0</v>
      </c>
      <c r="BD60" s="58"/>
      <c r="BO60" s="84"/>
      <c r="BV60" s="84"/>
    </row>
    <row r="61" spans="1:79" ht="15" x14ac:dyDescent="0.25">
      <c r="K61" s="61"/>
      <c r="AP61" s="139" t="s">
        <v>125</v>
      </c>
      <c r="AQ61" s="64" t="str">
        <f>IFERROR(((Budsjett!AQ59*Tabeller!J13)/Budsjett!AQ60),"")</f>
        <v/>
      </c>
      <c r="AR61" s="64" t="str">
        <f>IFERROR(((Budsjett!AR59*Tabeller!K13)/Budsjett!AR60),"")</f>
        <v/>
      </c>
      <c r="AS61" s="64" t="str">
        <f>IFERROR(((Budsjett!AS59*Tabeller!L13)/Budsjett!AS60),"")</f>
        <v/>
      </c>
      <c r="AT61" s="64" t="str">
        <f>IFERROR(((Budsjett!AT59*Tabeller!M13)/Budsjett!AT60),"")</f>
        <v/>
      </c>
      <c r="AU61" s="58">
        <f>AU60+AU57</f>
        <v>0</v>
      </c>
      <c r="BD61" s="58"/>
      <c r="BO61" s="84"/>
      <c r="BV61" s="84"/>
    </row>
    <row r="62" spans="1:79" x14ac:dyDescent="0.2">
      <c r="K62" s="113"/>
      <c r="AP62" s="139" t="s">
        <v>126</v>
      </c>
      <c r="AQ62" s="94">
        <f>IFERROR((AQ57/(AQ57+AQ60)*AQ58),0)+IFERROR((AQ60/(AQ57+AQ60)*AQ61),0)</f>
        <v>0</v>
      </c>
      <c r="AR62" s="94">
        <f>IFERROR((AR57/(AR57+AR60)*AR58),0)+IFERROR((AR60/(AR57+AR60)*AR61),0)</f>
        <v>0</v>
      </c>
      <c r="AS62" s="94">
        <f>IFERROR((AS57/(AS57+AS60)*AS58),0)+IFERROR((AS60/(AS57+AS60)*AS61),0)</f>
        <v>0</v>
      </c>
      <c r="AT62" s="94">
        <f>IFERROR((AT57/(AT57+AT60)*AT58),0)+IFERROR((AT60/(AT57+AT60)*AT61),0)</f>
        <v>0</v>
      </c>
      <c r="BD62" s="58"/>
      <c r="BO62" s="84"/>
      <c r="BV62" s="84"/>
    </row>
    <row r="63" spans="1:79" x14ac:dyDescent="0.2">
      <c r="A63" s="45" t="s">
        <v>127</v>
      </c>
      <c r="AP63" s="141"/>
      <c r="AQ63" s="147" t="str">
        <f>IF(AQ62&gt;0,AQ62,"")</f>
        <v/>
      </c>
      <c r="AR63" s="147" t="str">
        <f>IF(AR62&gt;0,AR62,"")</f>
        <v/>
      </c>
      <c r="AS63" s="147" t="str">
        <f>IF(AS62&gt;0,AS62,"")</f>
        <v/>
      </c>
      <c r="AT63" s="147" t="str">
        <f>IF(AT62&gt;0,AT62,"")</f>
        <v/>
      </c>
      <c r="BD63" s="58"/>
      <c r="BO63" s="84"/>
      <c r="BV63" s="84"/>
    </row>
    <row r="64" spans="1:79" x14ac:dyDescent="0.2">
      <c r="BD64" s="58"/>
      <c r="BO64" s="84"/>
      <c r="BV64" s="84"/>
    </row>
    <row r="65" spans="56:74" x14ac:dyDescent="0.2">
      <c r="BD65" s="58"/>
      <c r="BO65" s="84"/>
      <c r="BV65" s="84"/>
    </row>
    <row r="66" spans="56:74" x14ac:dyDescent="0.2">
      <c r="BO66" s="84"/>
      <c r="BV66" s="84"/>
    </row>
  </sheetData>
  <sheetProtection algorithmName="SHA-512" hashValue="yVaiW2oqs5S+WvVZCcdgVbNtttz12RjoXgxCt1w6rPhMY5+ZP8hdFw56Zf2pJ5xSpfctrmzOehuO68BkNlibHg==" saltValue="MXHp/OApuhZlMjahIUUvlA==" spinCount="100000" sheet="1" formatColumns="0"/>
  <phoneticPr fontId="12" type="noConversion"/>
  <conditionalFormatting sqref="E1 J1 J5:J11 E21 K3:M3 J16:J19 J24:J27 AC21:AK21 W21:AA21 C12:I12 A2:F2 G21:M21 A23:B27 A15:B19 A4:B12 E4:E11">
    <cfRule type="expression" dxfId="222" priority="1062" stopIfTrue="1">
      <formula>#REF!="NEI"</formula>
    </cfRule>
  </conditionalFormatting>
  <conditionalFormatting sqref="M16:M19 K16:K19 K24:K27 M24:M27 E49 F50:I50 A13:D13 A50:D50 A38:A40 A44:A46 D38:D46 D15:E19 D23:D27">
    <cfRule type="expression" dxfId="221" priority="1023" stopIfTrue="1">
      <formula>#REF!="NEI"</formula>
    </cfRule>
  </conditionalFormatting>
  <conditionalFormatting sqref="A21:D21">
    <cfRule type="expression" dxfId="220" priority="1022" stopIfTrue="1">
      <formula>#REF!="NEI"</formula>
    </cfRule>
  </conditionalFormatting>
  <conditionalFormatting sqref="K5:K11 A3:D3 A20:D20 A47:D47 A51:B51 C51:D52 A49:D49 A28:B29 A34:D37 BW38:BZ40 BW44:BZ46 F41:I42 F34:J35 BP34:BT35 BP3:BT3 BP22:BT22 BP30:BT30 BP14:BT14 BW34:CA35 BW3:CA3 BW22:CA22 BW30:CA30 BW14:CA14 BP37:BT37 BW37:CA37 J39:J42 K38:M42 J43:M45 BP38:BS47 A14:D14 A22:D22 C28:D30">
    <cfRule type="expression" dxfId="219" priority="1019" stopIfTrue="1">
      <formula>#REF!="NEI"</formula>
    </cfRule>
  </conditionalFormatting>
  <conditionalFormatting sqref="AL21:AO21">
    <cfRule type="expression" dxfId="218" priority="1018" stopIfTrue="1">
      <formula>#REF!="NEI"</formula>
    </cfRule>
  </conditionalFormatting>
  <conditionalFormatting sqref="AQ21:AT21">
    <cfRule type="expression" dxfId="217" priority="1012" stopIfTrue="1">
      <formula>#REF!="NEI"</formula>
    </cfRule>
  </conditionalFormatting>
  <conditionalFormatting sqref="M5:M11">
    <cfRule type="expression" dxfId="216" priority="1011" stopIfTrue="1">
      <formula>#REF!="NEI"</formula>
    </cfRule>
  </conditionalFormatting>
  <conditionalFormatting sqref="E3">
    <cfRule type="expression" dxfId="215" priority="970" stopIfTrue="1">
      <formula>#REF!="NEI"</formula>
    </cfRule>
  </conditionalFormatting>
  <conditionalFormatting sqref="J3">
    <cfRule type="expression" dxfId="214" priority="966" stopIfTrue="1">
      <formula>#REF!="NEI"</formula>
    </cfRule>
  </conditionalFormatting>
  <conditionalFormatting sqref="E36">
    <cfRule type="expression" dxfId="213" priority="938" stopIfTrue="1">
      <formula>#REF!="NEI"</formula>
    </cfRule>
  </conditionalFormatting>
  <conditionalFormatting sqref="F36">
    <cfRule type="expression" dxfId="212" priority="929" stopIfTrue="1">
      <formula>#REF!="NEI"</formula>
    </cfRule>
  </conditionalFormatting>
  <conditionalFormatting sqref="AQ35:AT35">
    <cfRule type="expression" dxfId="211" priority="896" stopIfTrue="1">
      <formula>#REF!="NEI"</formula>
    </cfRule>
  </conditionalFormatting>
  <conditionalFormatting sqref="AL35:AO35">
    <cfRule type="expression" dxfId="210" priority="895" stopIfTrue="1">
      <formula>#REF!="NEI"</formula>
    </cfRule>
  </conditionalFormatting>
  <conditionalFormatting sqref="BC4:BF11">
    <cfRule type="expression" dxfId="209" priority="911" stopIfTrue="1">
      <formula>#REF!="NEI"</formula>
    </cfRule>
  </conditionalFormatting>
  <conditionalFormatting sqref="AL3:AO3">
    <cfRule type="expression" dxfId="208" priority="869" stopIfTrue="1">
      <formula>#REF!="NEI"</formula>
    </cfRule>
  </conditionalFormatting>
  <conditionalFormatting sqref="BC35:BF35">
    <cfRule type="expression" dxfId="207" priority="899" stopIfTrue="1">
      <formula>#REF!="NEI"</formula>
    </cfRule>
  </conditionalFormatting>
  <conditionalFormatting sqref="BC22:BF22">
    <cfRule type="expression" dxfId="206" priority="889" stopIfTrue="1">
      <formula>#REF!="NEI"</formula>
    </cfRule>
  </conditionalFormatting>
  <conditionalFormatting sqref="BC3:BF3 C43">
    <cfRule type="expression" dxfId="205" priority="885" stopIfTrue="1">
      <formula>#REF!="NEI"</formula>
    </cfRule>
  </conditionalFormatting>
  <conditionalFormatting sqref="BC14:BF14">
    <cfRule type="expression" dxfId="204" priority="884" stopIfTrue="1">
      <formula>#REF!="NEI"</formula>
    </cfRule>
  </conditionalFormatting>
  <conditionalFormatting sqref="AQ12:AT12">
    <cfRule type="expression" dxfId="203" priority="871" stopIfTrue="1">
      <formula>#REF!="NEI"</formula>
    </cfRule>
  </conditionalFormatting>
  <conditionalFormatting sqref="AQ3:AT3">
    <cfRule type="expression" dxfId="202" priority="870" stopIfTrue="1">
      <formula>#REF!="NEI"</formula>
    </cfRule>
  </conditionalFormatting>
  <conditionalFormatting sqref="AL12:AO12">
    <cfRule type="expression" dxfId="201" priority="868" stopIfTrue="1">
      <formula>#REF!="NEI"</formula>
    </cfRule>
  </conditionalFormatting>
  <conditionalFormatting sqref="AL14:AO14">
    <cfRule type="expression" dxfId="200" priority="867" stopIfTrue="1">
      <formula>#REF!="NEI"</formula>
    </cfRule>
  </conditionalFormatting>
  <conditionalFormatting sqref="AQ28:AT28">
    <cfRule type="expression" dxfId="199" priority="873" stopIfTrue="1">
      <formula>#REF!="NEI"</formula>
    </cfRule>
  </conditionalFormatting>
  <conditionalFormatting sqref="AQ20:AT20">
    <cfRule type="expression" dxfId="198" priority="872" stopIfTrue="1">
      <formula>#REF!="NEI"</formula>
    </cfRule>
  </conditionalFormatting>
  <conditionalFormatting sqref="AL20:AO20">
    <cfRule type="expression" dxfId="197" priority="866" stopIfTrue="1">
      <formula>#REF!="NEI"</formula>
    </cfRule>
  </conditionalFormatting>
  <conditionalFormatting sqref="AL22:AO22">
    <cfRule type="expression" dxfId="196" priority="865" stopIfTrue="1">
      <formula>#REF!="NEI"</formula>
    </cfRule>
  </conditionalFormatting>
  <conditionalFormatting sqref="AL28:AO28">
    <cfRule type="expression" dxfId="195" priority="864" stopIfTrue="1">
      <formula>#REF!="NEI"</formula>
    </cfRule>
  </conditionalFormatting>
  <conditionalFormatting sqref="AW12:AZ12">
    <cfRule type="expression" dxfId="194" priority="826" stopIfTrue="1">
      <formula>#REF!="NEI"</formula>
    </cfRule>
  </conditionalFormatting>
  <conditionalFormatting sqref="AW21:AZ21">
    <cfRule type="expression" dxfId="193" priority="830" stopIfTrue="1">
      <formula>#REF!="NEI"</formula>
    </cfRule>
  </conditionalFormatting>
  <conditionalFormatting sqref="AW35:AZ35">
    <cfRule type="expression" dxfId="192" priority="829" stopIfTrue="1">
      <formula>#REF!="NEI"</formula>
    </cfRule>
  </conditionalFormatting>
  <conditionalFormatting sqref="AW20:AZ20">
    <cfRule type="expression" dxfId="191" priority="827" stopIfTrue="1">
      <formula>#REF!="NEI"</formula>
    </cfRule>
  </conditionalFormatting>
  <conditionalFormatting sqref="AW3:AZ3">
    <cfRule type="expression" dxfId="190" priority="825" stopIfTrue="1">
      <formula>#REF!="NEI"</formula>
    </cfRule>
  </conditionalFormatting>
  <conditionalFormatting sqref="AW14:AZ14">
    <cfRule type="expression" dxfId="189" priority="824" stopIfTrue="1">
      <formula>#REF!="NEI"</formula>
    </cfRule>
  </conditionalFormatting>
  <conditionalFormatting sqref="AW22:AZ22">
    <cfRule type="expression" dxfId="188" priority="823" stopIfTrue="1">
      <formula>#REF!="NEI"</formula>
    </cfRule>
  </conditionalFormatting>
  <conditionalFormatting sqref="BC20:BF20">
    <cfRule type="expression" dxfId="187" priority="821" stopIfTrue="1">
      <formula>#REF!="NEI"</formula>
    </cfRule>
  </conditionalFormatting>
  <conditionalFormatting sqref="BC12:BF12">
    <cfRule type="expression" dxfId="186" priority="820" stopIfTrue="1">
      <formula>#REF!="NEI"</formula>
    </cfRule>
  </conditionalFormatting>
  <conditionalFormatting sqref="BC28:BF28">
    <cfRule type="expression" dxfId="185" priority="819" stopIfTrue="1">
      <formula>#REF!="NEI"</formula>
    </cfRule>
  </conditionalFormatting>
  <conditionalFormatting sqref="D4:D11">
    <cfRule type="expression" dxfId="184" priority="799" stopIfTrue="1">
      <formula>#REF!="NEI"</formula>
    </cfRule>
  </conditionalFormatting>
  <conditionalFormatting sqref="E38:E46">
    <cfRule type="expression" dxfId="183" priority="803" stopIfTrue="1">
      <formula>#REF!="NEI"</formula>
    </cfRule>
  </conditionalFormatting>
  <conditionalFormatting sqref="J12:M12">
    <cfRule type="expression" dxfId="182" priority="769" stopIfTrue="1">
      <formula>#REF!="NEI"</formula>
    </cfRule>
  </conditionalFormatting>
  <conditionalFormatting sqref="AW28:AZ28">
    <cfRule type="expression" dxfId="181" priority="792" stopIfTrue="1">
      <formula>#REF!="NEI"</formula>
    </cfRule>
  </conditionalFormatting>
  <conditionalFormatting sqref="J46">
    <cfRule type="expression" dxfId="180" priority="761" stopIfTrue="1">
      <formula>#REF!="NEI"</formula>
    </cfRule>
  </conditionalFormatting>
  <conditionalFormatting sqref="K46:L46">
    <cfRule type="expression" dxfId="179" priority="760" stopIfTrue="1">
      <formula>#REF!="NEI"</formula>
    </cfRule>
  </conditionalFormatting>
  <conditionalFormatting sqref="M46">
    <cfRule type="expression" dxfId="178" priority="759" stopIfTrue="1">
      <formula>#REF!="NEI"</formula>
    </cfRule>
  </conditionalFormatting>
  <conditionalFormatting sqref="K20:M20">
    <cfRule type="expression" dxfId="177" priority="754" stopIfTrue="1">
      <formula>#REF!="NEI"</formula>
    </cfRule>
  </conditionalFormatting>
  <conditionalFormatting sqref="E28">
    <cfRule type="expression" dxfId="176" priority="752" stopIfTrue="1">
      <formula>#REF!="NEI"</formula>
    </cfRule>
  </conditionalFormatting>
  <conditionalFormatting sqref="E20">
    <cfRule type="expression" dxfId="175" priority="755" stopIfTrue="1">
      <formula>#REF!="NEI"</formula>
    </cfRule>
  </conditionalFormatting>
  <conditionalFormatting sqref="K28:M28">
    <cfRule type="expression" dxfId="174" priority="751" stopIfTrue="1">
      <formula>#REF!="NEI"</formula>
    </cfRule>
  </conditionalFormatting>
  <conditionalFormatting sqref="E35">
    <cfRule type="expression" dxfId="173" priority="749" stopIfTrue="1">
      <formula>#REF!="NEI"</formula>
    </cfRule>
  </conditionalFormatting>
  <conditionalFormatting sqref="K35:M35">
    <cfRule type="expression" dxfId="172" priority="748" stopIfTrue="1">
      <formula>#REF!="NEI"</formula>
    </cfRule>
  </conditionalFormatting>
  <conditionalFormatting sqref="J47:M47">
    <cfRule type="expression" dxfId="171" priority="742" stopIfTrue="1">
      <formula>#REF!="NEI"</formula>
    </cfRule>
  </conditionalFormatting>
  <conditionalFormatting sqref="E47:I47">
    <cfRule type="expression" dxfId="170" priority="743" stopIfTrue="1">
      <formula>#REF!="NEI"</formula>
    </cfRule>
  </conditionalFormatting>
  <conditionalFormatting sqref="F3:I3">
    <cfRule type="expression" dxfId="169" priority="729" stopIfTrue="1">
      <formula>#REF!="NEI"</formula>
    </cfRule>
  </conditionalFormatting>
  <conditionalFormatting sqref="F41:I42">
    <cfRule type="expression" dxfId="168" priority="690" stopIfTrue="1">
      <formula>#REF!="NEI"</formula>
    </cfRule>
  </conditionalFormatting>
  <conditionalFormatting sqref="F20:I20">
    <cfRule type="expression" dxfId="167" priority="635" stopIfTrue="1">
      <formula>#REF!="NEI"</formula>
    </cfRule>
  </conditionalFormatting>
  <conditionalFormatting sqref="F28:I28">
    <cfRule type="expression" dxfId="166" priority="633" stopIfTrue="1">
      <formula>#REF!="NEI"</formula>
    </cfRule>
  </conditionalFormatting>
  <conditionalFormatting sqref="J28">
    <cfRule type="expression" dxfId="165" priority="601" stopIfTrue="1">
      <formula>#REF!="NEI"</formula>
    </cfRule>
  </conditionalFormatting>
  <conditionalFormatting sqref="J20">
    <cfRule type="expression" dxfId="164" priority="603" stopIfTrue="1">
      <formula>#REF!="NEI"</formula>
    </cfRule>
  </conditionalFormatting>
  <conditionalFormatting sqref="J51:M51">
    <cfRule type="expression" dxfId="163" priority="566" stopIfTrue="1">
      <formula>#REF!="NEI"</formula>
    </cfRule>
  </conditionalFormatting>
  <conditionalFormatting sqref="AL47:AO47">
    <cfRule type="expression" dxfId="162" priority="600" stopIfTrue="1">
      <formula>#REF!="NEI"</formula>
    </cfRule>
  </conditionalFormatting>
  <conditionalFormatting sqref="AL37:AO37">
    <cfRule type="expression" dxfId="161" priority="599" stopIfTrue="1">
      <formula>#REF!="NEI"</formula>
    </cfRule>
  </conditionalFormatting>
  <conditionalFormatting sqref="BC18:BF18">
    <cfRule type="expression" dxfId="160" priority="574" stopIfTrue="1">
      <formula>#REF!="NEI"</formula>
    </cfRule>
  </conditionalFormatting>
  <conditionalFormatting sqref="BC15:BF15">
    <cfRule type="expression" dxfId="159" priority="577" stopIfTrue="1">
      <formula>#REF!="NEI"</formula>
    </cfRule>
  </conditionalFormatting>
  <conditionalFormatting sqref="BC16:BF16">
    <cfRule type="expression" dxfId="158" priority="576" stopIfTrue="1">
      <formula>#REF!="NEI"</formula>
    </cfRule>
  </conditionalFormatting>
  <conditionalFormatting sqref="BC17:BF17">
    <cfRule type="expression" dxfId="157" priority="575" stopIfTrue="1">
      <formula>#REF!="NEI"</formula>
    </cfRule>
  </conditionalFormatting>
  <conditionalFormatting sqref="BC23:BF27">
    <cfRule type="expression" dxfId="156" priority="572" stopIfTrue="1">
      <formula>#REF!="NEI"</formula>
    </cfRule>
  </conditionalFormatting>
  <conditionalFormatting sqref="BC19:BF19">
    <cfRule type="expression" dxfId="155" priority="573" stopIfTrue="1">
      <formula>#REF!="NEI"</formula>
    </cfRule>
  </conditionalFormatting>
  <conditionalFormatting sqref="J37">
    <cfRule type="expression" dxfId="154" priority="545" stopIfTrue="1">
      <formula>#REF!="NEI"</formula>
    </cfRule>
  </conditionalFormatting>
  <conditionalFormatting sqref="E51:I51">
    <cfRule type="expression" dxfId="153" priority="567" stopIfTrue="1">
      <formula>#REF!="NEI"</formula>
    </cfRule>
  </conditionalFormatting>
  <conditionalFormatting sqref="J49:M49">
    <cfRule type="expression" dxfId="152" priority="564" stopIfTrue="1">
      <formula>#REF!="NEI"</formula>
    </cfRule>
  </conditionalFormatting>
  <conditionalFormatting sqref="F49:I49">
    <cfRule type="expression" dxfId="151" priority="565" stopIfTrue="1">
      <formula>#REF!="NEI"</formula>
    </cfRule>
  </conditionalFormatting>
  <conditionalFormatting sqref="J50:M50">
    <cfRule type="expression" dxfId="150" priority="562" stopIfTrue="1">
      <formula>#REF!="NEI"</formula>
    </cfRule>
  </conditionalFormatting>
  <conditionalFormatting sqref="J52:L52">
    <cfRule type="expression" dxfId="149" priority="560" stopIfTrue="1">
      <formula>#REF!="NEI"</formula>
    </cfRule>
  </conditionalFormatting>
  <conditionalFormatting sqref="E52:I52">
    <cfRule type="expression" dxfId="148" priority="561" stopIfTrue="1">
      <formula>#REF!="NEI"</formula>
    </cfRule>
  </conditionalFormatting>
  <conditionalFormatting sqref="A52:B52">
    <cfRule type="expression" dxfId="147" priority="559" stopIfTrue="1">
      <formula>#REF!="NEI"</formula>
    </cfRule>
  </conditionalFormatting>
  <conditionalFormatting sqref="M52">
    <cfRule type="expression" dxfId="146" priority="558" stopIfTrue="1">
      <formula>#REF!="NEI"</formula>
    </cfRule>
  </conditionalFormatting>
  <conditionalFormatting sqref="L14:M14">
    <cfRule type="expression" dxfId="145" priority="555" stopIfTrue="1">
      <formula>#REF!="NEI"</formula>
    </cfRule>
  </conditionalFormatting>
  <conditionalFormatting sqref="E14">
    <cfRule type="expression" dxfId="144" priority="554" stopIfTrue="1">
      <formula>#REF!="NEI"</formula>
    </cfRule>
  </conditionalFormatting>
  <conditionalFormatting sqref="J14">
    <cfRule type="expression" dxfId="143" priority="553" stopIfTrue="1">
      <formula>#REF!="NEI"</formula>
    </cfRule>
  </conditionalFormatting>
  <conditionalFormatting sqref="J22">
    <cfRule type="expression" dxfId="142" priority="549" stopIfTrue="1">
      <formula>#REF!="NEI"</formula>
    </cfRule>
  </conditionalFormatting>
  <conditionalFormatting sqref="L22:M22">
    <cfRule type="expression" dxfId="141" priority="551" stopIfTrue="1">
      <formula>#REF!="NEI"</formula>
    </cfRule>
  </conditionalFormatting>
  <conditionalFormatting sqref="E22">
    <cfRule type="expression" dxfId="140" priority="550" stopIfTrue="1">
      <formula>#REF!="NEI"</formula>
    </cfRule>
  </conditionalFormatting>
  <conditionalFormatting sqref="E37">
    <cfRule type="expression" dxfId="139" priority="546" stopIfTrue="1">
      <formula>#REF!="NEI"</formula>
    </cfRule>
  </conditionalFormatting>
  <conditionalFormatting sqref="K37:M37">
    <cfRule type="expression" dxfId="138" priority="547" stopIfTrue="1">
      <formula>#REF!="NEI"</formula>
    </cfRule>
  </conditionalFormatting>
  <conditionalFormatting sqref="E50">
    <cfRule type="expression" dxfId="137" priority="527" stopIfTrue="1">
      <formula>#REF!="NEI"</formula>
    </cfRule>
  </conditionalFormatting>
  <conditionalFormatting sqref="F23:I27">
    <cfRule type="expression" dxfId="136" priority="486" stopIfTrue="1">
      <formula>#REF!="NEI"</formula>
    </cfRule>
  </conditionalFormatting>
  <conditionalFormatting sqref="M50">
    <cfRule type="cellIs" dxfId="135" priority="484" operator="greaterThan">
      <formula>0</formula>
    </cfRule>
  </conditionalFormatting>
  <conditionalFormatting sqref="A55:B55">
    <cfRule type="expression" dxfId="134" priority="483">
      <formula>$E$20="Andel"</formula>
    </cfRule>
  </conditionalFormatting>
  <conditionalFormatting sqref="A57:B57">
    <cfRule type="expression" dxfId="133" priority="480">
      <formula>$E$20="Andel"</formula>
    </cfRule>
  </conditionalFormatting>
  <conditionalFormatting sqref="G57">
    <cfRule type="expression" dxfId="132" priority="479" stopIfTrue="1">
      <formula>#REF!="NEI"</formula>
    </cfRule>
  </conditionalFormatting>
  <conditionalFormatting sqref="F14:I14">
    <cfRule type="expression" dxfId="131" priority="470" stopIfTrue="1">
      <formula>#REF!="NEI"</formula>
    </cfRule>
  </conditionalFormatting>
  <conditionalFormatting sqref="F22:I22">
    <cfRule type="expression" dxfId="130" priority="469" stopIfTrue="1">
      <formula>#REF!="NEI"</formula>
    </cfRule>
  </conditionalFormatting>
  <conditionalFormatting sqref="BC34:BF34">
    <cfRule type="expression" dxfId="129" priority="420" stopIfTrue="1">
      <formula>#REF!="NEI"</formula>
    </cfRule>
  </conditionalFormatting>
  <conditionalFormatting sqref="F37:I37">
    <cfRule type="expression" dxfId="128" priority="468" stopIfTrue="1">
      <formula>#REF!="NEI"</formula>
    </cfRule>
  </conditionalFormatting>
  <conditionalFormatting sqref="E29:F29">
    <cfRule type="expression" dxfId="127" priority="460" stopIfTrue="1">
      <formula>#REF!="NEI"</formula>
    </cfRule>
  </conditionalFormatting>
  <conditionalFormatting sqref="A31:A33">
    <cfRule type="expression" dxfId="126" priority="459" stopIfTrue="1">
      <formula>#REF!="NEI"</formula>
    </cfRule>
  </conditionalFormatting>
  <conditionalFormatting sqref="E31:E33">
    <cfRule type="expression" dxfId="125" priority="458" stopIfTrue="1">
      <formula>#REF!="NEI"</formula>
    </cfRule>
  </conditionalFormatting>
  <conditionalFormatting sqref="BC30:BF30">
    <cfRule type="expression" dxfId="124" priority="457" stopIfTrue="1">
      <formula>#REF!="NEI"</formula>
    </cfRule>
  </conditionalFormatting>
  <conditionalFormatting sqref="AL30:AO30">
    <cfRule type="expression" dxfId="123" priority="456" stopIfTrue="1">
      <formula>#REF!="NEI"</formula>
    </cfRule>
  </conditionalFormatting>
  <conditionalFormatting sqref="AW30:AZ30">
    <cfRule type="expression" dxfId="122" priority="455" stopIfTrue="1">
      <formula>#REF!="NEI"</formula>
    </cfRule>
  </conditionalFormatting>
  <conditionalFormatting sqref="BC31:BF33">
    <cfRule type="expression" dxfId="121" priority="452" stopIfTrue="1">
      <formula>#REF!="NEI"</formula>
    </cfRule>
  </conditionalFormatting>
  <conditionalFormatting sqref="M30">
    <cfRule type="expression" dxfId="120" priority="451" stopIfTrue="1">
      <formula>#REF!="NEI"</formula>
    </cfRule>
  </conditionalFormatting>
  <conditionalFormatting sqref="A30:B30 E30">
    <cfRule type="expression" dxfId="119" priority="450" stopIfTrue="1">
      <formula>#REF!="NEI"</formula>
    </cfRule>
  </conditionalFormatting>
  <conditionalFormatting sqref="F30:I30">
    <cfRule type="expression" dxfId="118" priority="447" stopIfTrue="1">
      <formula>#REF!="NEI"</formula>
    </cfRule>
  </conditionalFormatting>
  <conditionalFormatting sqref="AL34:AO34">
    <cfRule type="expression" dxfId="117" priority="422" stopIfTrue="1">
      <formula>#REF!="NEI"</formula>
    </cfRule>
  </conditionalFormatting>
  <conditionalFormatting sqref="E34">
    <cfRule type="expression" dxfId="116" priority="419" stopIfTrue="1">
      <formula>#REF!="NEI"</formula>
    </cfRule>
  </conditionalFormatting>
  <conditionalFormatting sqref="K34:M34">
    <cfRule type="expression" dxfId="115" priority="418" stopIfTrue="1">
      <formula>#REF!="NEI"</formula>
    </cfRule>
  </conditionalFormatting>
  <conditionalFormatting sqref="AQ34:AT34">
    <cfRule type="expression" dxfId="114" priority="423" stopIfTrue="1">
      <formula>#REF!="NEI"</formula>
    </cfRule>
  </conditionalFormatting>
  <conditionalFormatting sqref="AW34:AZ34">
    <cfRule type="expression" dxfId="113" priority="421" stopIfTrue="1">
      <formula>#REF!="NEI"</formula>
    </cfRule>
  </conditionalFormatting>
  <conditionalFormatting sqref="K30:L30">
    <cfRule type="expression" dxfId="112" priority="412" stopIfTrue="1">
      <formula>#REF!="NEI"</formula>
    </cfRule>
  </conditionalFormatting>
  <conditionalFormatting sqref="J30">
    <cfRule type="expression" dxfId="111" priority="411" stopIfTrue="1">
      <formula>#REF!="NEI"</formula>
    </cfRule>
  </conditionalFormatting>
  <conditionalFormatting sqref="D31:D33">
    <cfRule type="expression" dxfId="110" priority="410" stopIfTrue="1">
      <formula>#REF!="NEI"</formula>
    </cfRule>
  </conditionalFormatting>
  <conditionalFormatting sqref="M31">
    <cfRule type="expression" dxfId="109" priority="402" stopIfTrue="1">
      <formula>#REF!="NEI"</formula>
    </cfRule>
  </conditionalFormatting>
  <conditionalFormatting sqref="M32">
    <cfRule type="expression" dxfId="108" priority="401" stopIfTrue="1">
      <formula>#REF!="NEI"</formula>
    </cfRule>
  </conditionalFormatting>
  <conditionalFormatting sqref="M33">
    <cfRule type="expression" dxfId="107" priority="400" stopIfTrue="1">
      <formula>#REF!="NEI"</formula>
    </cfRule>
  </conditionalFormatting>
  <conditionalFormatting sqref="F13">
    <cfRule type="expression" dxfId="106" priority="335" stopIfTrue="1">
      <formula>#REF!="NEI"</formula>
    </cfRule>
  </conditionalFormatting>
  <conditionalFormatting sqref="F21">
    <cfRule type="expression" dxfId="105" priority="334" stopIfTrue="1">
      <formula>#REF!="NEI"</formula>
    </cfRule>
  </conditionalFormatting>
  <conditionalFormatting sqref="F53">
    <cfRule type="expression" dxfId="104" priority="333" stopIfTrue="1">
      <formula>#REF!="NEI"</formula>
    </cfRule>
  </conditionalFormatting>
  <conditionalFormatting sqref="J58">
    <cfRule type="expression" dxfId="103" priority="142" stopIfTrue="1">
      <formula>#REF!="NEI"</formula>
    </cfRule>
  </conditionalFormatting>
  <conditionalFormatting sqref="CA23:CA27 CA15:CA19">
    <cfRule type="expression" dxfId="102" priority="140" stopIfTrue="1">
      <formula>#REF!="NEI"</formula>
    </cfRule>
  </conditionalFormatting>
  <conditionalFormatting sqref="BW20:BZ20">
    <cfRule type="expression" dxfId="101" priority="138" stopIfTrue="1">
      <formula>#REF!="NEI"</formula>
    </cfRule>
  </conditionalFormatting>
  <conditionalFormatting sqref="BW12:BZ12">
    <cfRule type="expression" dxfId="100" priority="137" stopIfTrue="1">
      <formula>#REF!="NEI"</formula>
    </cfRule>
  </conditionalFormatting>
  <conditionalFormatting sqref="CA31:CA33">
    <cfRule type="expression" dxfId="99" priority="130" stopIfTrue="1">
      <formula>#REF!="NEI"</formula>
    </cfRule>
  </conditionalFormatting>
  <conditionalFormatting sqref="CA4:CA11">
    <cfRule type="expression" dxfId="98" priority="135" stopIfTrue="1">
      <formula>#REF!="NEI"</formula>
    </cfRule>
  </conditionalFormatting>
  <conditionalFormatting sqref="CA12">
    <cfRule type="expression" dxfId="97" priority="134" stopIfTrue="1">
      <formula>#REF!="NEI"</formula>
    </cfRule>
  </conditionalFormatting>
  <conditionalFormatting sqref="CA20">
    <cfRule type="expression" dxfId="96" priority="133" stopIfTrue="1">
      <formula>#REF!="NEI"</formula>
    </cfRule>
  </conditionalFormatting>
  <conditionalFormatting sqref="CA28">
    <cfRule type="expression" dxfId="95" priority="132" stopIfTrue="1">
      <formula>#REF!="NEI"</formula>
    </cfRule>
  </conditionalFormatting>
  <conditionalFormatting sqref="BW4:BZ11">
    <cfRule type="expression" dxfId="94" priority="131" stopIfTrue="1">
      <formula>#REF!="NEI"</formula>
    </cfRule>
  </conditionalFormatting>
  <conditionalFormatting sqref="BW47:BZ47">
    <cfRule type="expression" dxfId="93" priority="118" stopIfTrue="1">
      <formula>#REF!="NEI"</formula>
    </cfRule>
  </conditionalFormatting>
  <conditionalFormatting sqref="BW15:BZ19">
    <cfRule type="expression" dxfId="92" priority="117" stopIfTrue="1">
      <formula>#REF!="NEI"</formula>
    </cfRule>
  </conditionalFormatting>
  <conditionalFormatting sqref="BW23:BZ27">
    <cfRule type="expression" dxfId="91" priority="116" stopIfTrue="1">
      <formula>#REF!="NEI"</formula>
    </cfRule>
  </conditionalFormatting>
  <conditionalFormatting sqref="BW31:BZ33">
    <cfRule type="expression" dxfId="90" priority="115" stopIfTrue="1">
      <formula>#REF!="NEI"</formula>
    </cfRule>
  </conditionalFormatting>
  <conditionalFormatting sqref="AP56">
    <cfRule type="expression" dxfId="89" priority="99" stopIfTrue="1">
      <formula>#REF!="NEI"</formula>
    </cfRule>
  </conditionalFormatting>
  <conditionalFormatting sqref="AP57">
    <cfRule type="expression" dxfId="88" priority="98" stopIfTrue="1">
      <formula>#REF!="NEI"</formula>
    </cfRule>
  </conditionalFormatting>
  <conditionalFormatting sqref="A41">
    <cfRule type="expression" dxfId="87" priority="95" stopIfTrue="1">
      <formula>#REF!="NEI"</formula>
    </cfRule>
  </conditionalFormatting>
  <conditionalFormatting sqref="A42:A43">
    <cfRule type="expression" dxfId="86" priority="94" stopIfTrue="1">
      <formula>#REF!="NEI"</formula>
    </cfRule>
  </conditionalFormatting>
  <conditionalFormatting sqref="BW41:BZ41">
    <cfRule type="expression" dxfId="85" priority="91" stopIfTrue="1">
      <formula>#REF!="NEI"</formula>
    </cfRule>
  </conditionalFormatting>
  <conditionalFormatting sqref="BW42:BZ43">
    <cfRule type="expression" dxfId="84" priority="90" stopIfTrue="1">
      <formula>#REF!="NEI"</formula>
    </cfRule>
  </conditionalFormatting>
  <conditionalFormatting sqref="BT23:BT27 BP23:BS28 BT15:BT19">
    <cfRule type="expression" dxfId="83" priority="80" stopIfTrue="1">
      <formula>#REF!="NEI"</formula>
    </cfRule>
  </conditionalFormatting>
  <conditionalFormatting sqref="BP20:BS20">
    <cfRule type="expression" dxfId="82" priority="78" stopIfTrue="1">
      <formula>#REF!="NEI"</formula>
    </cfRule>
  </conditionalFormatting>
  <conditionalFormatting sqref="BP12:BS12">
    <cfRule type="expression" dxfId="81" priority="77" stopIfTrue="1">
      <formula>#REF!="NEI"</formula>
    </cfRule>
  </conditionalFormatting>
  <conditionalFormatting sqref="BT31:BT33">
    <cfRule type="expression" dxfId="80" priority="70" stopIfTrue="1">
      <formula>#REF!="NEI"</formula>
    </cfRule>
  </conditionalFormatting>
  <conditionalFormatting sqref="BT4:BT11">
    <cfRule type="expression" dxfId="79" priority="75" stopIfTrue="1">
      <formula>#REF!="NEI"</formula>
    </cfRule>
  </conditionalFormatting>
  <conditionalFormatting sqref="BT12">
    <cfRule type="expression" dxfId="78" priority="74" stopIfTrue="1">
      <formula>#REF!="NEI"</formula>
    </cfRule>
  </conditionalFormatting>
  <conditionalFormatting sqref="BT20">
    <cfRule type="expression" dxfId="77" priority="73" stopIfTrue="1">
      <formula>#REF!="NEI"</formula>
    </cfRule>
  </conditionalFormatting>
  <conditionalFormatting sqref="BT28">
    <cfRule type="expression" dxfId="76" priority="72" stopIfTrue="1">
      <formula>#REF!="NEI"</formula>
    </cfRule>
  </conditionalFormatting>
  <conditionalFormatting sqref="BP4:BS11">
    <cfRule type="expression" dxfId="75" priority="71" stopIfTrue="1">
      <formula>#REF!="NEI"</formula>
    </cfRule>
  </conditionalFormatting>
  <conditionalFormatting sqref="BP15:BS19">
    <cfRule type="expression" dxfId="74" priority="61" stopIfTrue="1">
      <formula>#REF!="NEI"</formula>
    </cfRule>
  </conditionalFormatting>
  <conditionalFormatting sqref="BP31:BS33">
    <cfRule type="expression" dxfId="73" priority="60" stopIfTrue="1">
      <formula>#REF!="NEI"</formula>
    </cfRule>
  </conditionalFormatting>
  <conditionalFormatting sqref="BW28:BZ28">
    <cfRule type="expression" dxfId="72" priority="48" stopIfTrue="1">
      <formula>#REF!="NEI"</formula>
    </cfRule>
  </conditionalFormatting>
  <conditionalFormatting sqref="K14">
    <cfRule type="expression" dxfId="71" priority="37" stopIfTrue="1">
      <formula>#REF!="NEI"</formula>
    </cfRule>
  </conditionalFormatting>
  <conditionalFormatting sqref="K22">
    <cfRule type="expression" dxfId="70" priority="36" stopIfTrue="1">
      <formula>#REF!="NEI"</formula>
    </cfRule>
  </conditionalFormatting>
  <conditionalFormatting sqref="C41:C42">
    <cfRule type="expression" dxfId="69" priority="30" stopIfTrue="1">
      <formula>#REF!="NEI"</formula>
    </cfRule>
  </conditionalFormatting>
  <conditionalFormatting sqref="C41:C43">
    <cfRule type="expression" dxfId="68" priority="29" stopIfTrue="1">
      <formula>#REF!="NEI"</formula>
    </cfRule>
  </conditionalFormatting>
  <conditionalFormatting sqref="C4:C11">
    <cfRule type="expression" dxfId="67" priority="28" stopIfTrue="1">
      <formula>#REF!="NEI"</formula>
    </cfRule>
  </conditionalFormatting>
  <conditionalFormatting sqref="C15:C19">
    <cfRule type="expression" dxfId="66" priority="27" stopIfTrue="1">
      <formula>#REF!="NEI"</formula>
    </cfRule>
  </conditionalFormatting>
  <conditionalFormatting sqref="C31:C33">
    <cfRule type="expression" dxfId="65" priority="26" stopIfTrue="1">
      <formula>#REF!="NEI"</formula>
    </cfRule>
  </conditionalFormatting>
  <conditionalFormatting sqref="C39">
    <cfRule type="expression" dxfId="64" priority="24" stopIfTrue="1">
      <formula>#REF!="NEI"</formula>
    </cfRule>
  </conditionalFormatting>
  <conditionalFormatting sqref="C38">
    <cfRule type="expression" dxfId="63" priority="23" stopIfTrue="1">
      <formula>#REF!="NEI"</formula>
    </cfRule>
  </conditionalFormatting>
  <conditionalFormatting sqref="C40">
    <cfRule type="expression" dxfId="62" priority="22" stopIfTrue="1">
      <formula>#REF!="NEI"</formula>
    </cfRule>
  </conditionalFormatting>
  <conditionalFormatting sqref="C44:C45">
    <cfRule type="expression" dxfId="61" priority="21" stopIfTrue="1">
      <formula>#REF!="NEI"</formula>
    </cfRule>
  </conditionalFormatting>
  <conditionalFormatting sqref="C46">
    <cfRule type="expression" dxfId="60" priority="20" stopIfTrue="1">
      <formula>#REF!="NEI"</formula>
    </cfRule>
  </conditionalFormatting>
  <conditionalFormatting sqref="C24:C27">
    <cfRule type="expression" dxfId="59" priority="18" stopIfTrue="1">
      <formula>#REF!="NEI"</formula>
    </cfRule>
  </conditionalFormatting>
  <conditionalFormatting sqref="A59:B59">
    <cfRule type="expression" dxfId="58" priority="16">
      <formula>$D$20="Andel"</formula>
    </cfRule>
  </conditionalFormatting>
  <conditionalFormatting sqref="G58">
    <cfRule type="expression" dxfId="57" priority="15" stopIfTrue="1">
      <formula>#REF!="NEI"</formula>
    </cfRule>
  </conditionalFormatting>
  <conditionalFormatting sqref="G59">
    <cfRule type="expression" dxfId="56" priority="14" stopIfTrue="1">
      <formula>#REF!="NEI"</formula>
    </cfRule>
  </conditionalFormatting>
  <conditionalFormatting sqref="G54">
    <cfRule type="expression" dxfId="55" priority="13" stopIfTrue="1">
      <formula>#REF!="NEI"</formula>
    </cfRule>
  </conditionalFormatting>
  <conditionalFormatting sqref="G55">
    <cfRule type="expression" dxfId="54" priority="11" stopIfTrue="1">
      <formula>#REF!="NEI"</formula>
    </cfRule>
  </conditionalFormatting>
  <conditionalFormatting sqref="F38:I40">
    <cfRule type="expression" dxfId="53" priority="5" stopIfTrue="1">
      <formula>#REF!="NEI"</formula>
    </cfRule>
  </conditionalFormatting>
  <conditionalFormatting sqref="G43:I43 G46:I46">
    <cfRule type="expression" dxfId="52" priority="4" stopIfTrue="1">
      <formula>#REF!="NEI"</formula>
    </cfRule>
  </conditionalFormatting>
  <conditionalFormatting sqref="F43:F46 G44:I45">
    <cfRule type="expression" dxfId="51" priority="3" stopIfTrue="1">
      <formula>#REF!="NEI"</formula>
    </cfRule>
  </conditionalFormatting>
  <conditionalFormatting sqref="B31:B33">
    <cfRule type="expression" dxfId="50" priority="2" stopIfTrue="1">
      <formula>#REF!="NEI"</formula>
    </cfRule>
  </conditionalFormatting>
  <conditionalFormatting sqref="B38:B46">
    <cfRule type="expression" dxfId="49" priority="1" stopIfTrue="1">
      <formula>#REF!="NEI"</formula>
    </cfRule>
  </conditionalFormatting>
  <pageMargins left="0.59055118110236227" right="0.35433070866141736" top="0.53" bottom="0.47" header="0.31" footer="0.26"/>
  <pageSetup paperSize="9" scale="48" orientation="landscape" r:id="rId1"/>
  <headerFooter alignWithMargins="0"/>
  <legacyDrawing r:id="rId2"/>
  <extLst>
    <ext xmlns:x14="http://schemas.microsoft.com/office/spreadsheetml/2009/9/main" uri="{78C0D931-6437-407d-A8EE-F0AAD7539E65}">
      <x14:conditionalFormattings>
        <x14:conditionalFormatting xmlns:xm="http://schemas.microsoft.com/office/excel/2006/main">
          <x14:cfRule type="expression" priority="691" id="{0481A989-A447-4C8B-8713-7967ABB0E91E}">
            <xm:f>Registrering!$C$26="Finansieringsandel"</xm:f>
            <x14:dxf>
              <fill>
                <patternFill>
                  <bgColor theme="0"/>
                </patternFill>
              </fill>
            </x14:dxf>
          </x14:cfRule>
          <xm:sqref>E23:E27</xm:sqref>
        </x14:conditionalFormatting>
        <x14:conditionalFormatting xmlns:xm="http://schemas.microsoft.com/office/excel/2006/main">
          <x14:cfRule type="expression" priority="467" id="{4E0941B0-F7BB-409E-B293-25CB909E0064}">
            <xm:f>Registrering!$C$26="Finansieringsandel"</xm:f>
            <x14:dxf>
              <fill>
                <patternFill>
                  <bgColor theme="0"/>
                </patternFill>
              </fill>
            </x14:dxf>
          </x14:cfRule>
          <xm:sqref>F4:I11</xm:sqref>
        </x14:conditionalFormatting>
        <x14:conditionalFormatting xmlns:xm="http://schemas.microsoft.com/office/excel/2006/main">
          <x14:cfRule type="expression" priority="466" id="{75C3DF41-CF5A-4C27-82B2-DA44030032D1}">
            <xm:f>Registrering!$C$26="Finansieringsandel"</xm:f>
            <x14:dxf>
              <fill>
                <patternFill>
                  <bgColor theme="0"/>
                </patternFill>
              </fill>
            </x14:dxf>
          </x14:cfRule>
          <xm:sqref>F15:I19</xm:sqref>
        </x14:conditionalFormatting>
        <x14:conditionalFormatting xmlns:xm="http://schemas.microsoft.com/office/excel/2006/main">
          <x14:cfRule type="expression" priority="446" id="{0E4CF667-8C88-4F07-AB73-F49E775F5CFC}">
            <xm:f>Registrering!$C$26="Finansieringsandel"</xm:f>
            <x14:dxf>
              <fill>
                <patternFill>
                  <bgColor theme="0"/>
                </patternFill>
              </fill>
            </x14:dxf>
          </x14:cfRule>
          <xm:sqref>F31:I33</xm:sqref>
        </x14:conditionalFormatting>
        <x14:conditionalFormatting xmlns:xm="http://schemas.microsoft.com/office/excel/2006/main">
          <x14:cfRule type="expression" priority="145" id="{71918338-90C7-4A63-804E-A75E5A53CF9B}">
            <xm:f>'\\kant.uio.no\los-ads-u1\mikkelbd\pc\Dokumenter\kant.uio.no\los-ads-u1\EFP\IHR-leveranser - EFP\Søknadsbudsjett\[søknadsbudsjettering_1.3.xlsx]Registrering'!#REF!="Finansieringsandel"</xm:f>
            <x14:dxf>
              <fill>
                <patternFill>
                  <bgColor theme="0"/>
                </patternFill>
              </fill>
            </x14:dxf>
          </x14:cfRule>
          <xm:sqref>H58:I58</xm:sqref>
        </x14:conditionalFormatting>
      </x14:conditionalFormattings>
    </ext>
    <ext xmlns:x14="http://schemas.microsoft.com/office/spreadsheetml/2009/9/main" uri="{CCE6A557-97BC-4b89-ADB6-D9C93CAAB3DF}">
      <x14:dataValidations xmlns:xm="http://schemas.microsoft.com/office/excel/2006/main" xWindow="76" yWindow="359" count="1">
        <x14:dataValidation type="list" allowBlank="1" showInputMessage="1" showErrorMessage="1" prompt="Feltet må fylles inn!" xr:uid="{00000000-0002-0000-0200-000000000000}">
          <x14:formula1>
            <xm:f>Tabeller!$W$16:$W$23</xm:f>
          </x14:formula1>
          <xm:sqref>A15:A19 A23:A27 A4:A11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ColWidth="9.140625" defaultRowHeight="12.75" x14ac:dyDescent="0.2"/>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00B050"/>
    <pageSetUpPr fitToPage="1"/>
  </sheetPr>
  <dimension ref="A1:O63"/>
  <sheetViews>
    <sheetView showGridLines="0" zoomScale="80" zoomScaleNormal="80" zoomScalePageLayoutView="85" workbookViewId="0">
      <selection activeCell="D5" sqref="D5"/>
    </sheetView>
  </sheetViews>
  <sheetFormatPr defaultColWidth="9.140625" defaultRowHeight="12.75" x14ac:dyDescent="0.2"/>
  <cols>
    <col min="1" max="1" width="31.5703125" style="45" customWidth="1"/>
    <col min="2" max="2" width="12.140625" style="45" customWidth="1"/>
    <col min="3" max="3" width="5.85546875" style="45" customWidth="1"/>
    <col min="4" max="4" width="30" style="45" customWidth="1"/>
    <col min="5" max="5" width="23.5703125" style="45" customWidth="1"/>
    <col min="6" max="6" width="29.5703125" style="45" customWidth="1"/>
    <col min="7" max="7" width="27.42578125" style="45" customWidth="1"/>
    <col min="8" max="8" width="31.42578125" style="45" customWidth="1"/>
    <col min="9" max="9" width="18.140625" style="45" customWidth="1"/>
    <col min="10" max="10" width="18" style="45" customWidth="1"/>
    <col min="11" max="11" width="18.42578125" style="45" customWidth="1"/>
    <col min="12" max="12" width="15.5703125" style="45" customWidth="1"/>
    <col min="13" max="13" width="18.42578125" style="45" customWidth="1"/>
    <col min="14" max="14" width="17.42578125" style="45" customWidth="1"/>
    <col min="15" max="15" width="19.42578125" style="45" customWidth="1"/>
    <col min="16" max="16" width="4" style="45" customWidth="1"/>
    <col min="17" max="17" width="18.5703125" style="45" customWidth="1"/>
    <col min="18" max="21" width="12.85546875" style="45" customWidth="1"/>
    <col min="22" max="22" width="11.5703125" style="45" customWidth="1"/>
    <col min="23" max="23" width="12.42578125" style="45" customWidth="1"/>
    <col min="24" max="24" width="10.85546875" style="45" bestFit="1" customWidth="1"/>
    <col min="25" max="26" width="10.85546875" style="45" customWidth="1"/>
    <col min="27" max="34" width="9.140625" style="45"/>
    <col min="35" max="35" width="11.42578125" style="45" bestFit="1" customWidth="1"/>
    <col min="36" max="16384" width="9.140625" style="45"/>
  </cols>
  <sheetData>
    <row r="1" spans="1:15" ht="18.75" x14ac:dyDescent="0.3">
      <c r="A1" s="46" t="s">
        <v>50</v>
      </c>
      <c r="B1" s="46"/>
      <c r="C1" s="46" t="str">
        <f>IF(Registrering!$C$4="","",Registrering!$C$4)</f>
        <v/>
      </c>
      <c r="D1" s="44"/>
    </row>
    <row r="2" spans="1:15" ht="21" x14ac:dyDescent="0.35">
      <c r="A2" s="55" t="s">
        <v>128</v>
      </c>
      <c r="B2" s="362"/>
      <c r="C2" s="49"/>
      <c r="D2" s="49"/>
      <c r="E2" s="57" t="s">
        <v>95</v>
      </c>
      <c r="I2" s="47" t="s">
        <v>129</v>
      </c>
    </row>
    <row r="3" spans="1:15" ht="15" x14ac:dyDescent="0.25">
      <c r="A3" s="132"/>
      <c r="B3" s="85" t="s">
        <v>63</v>
      </c>
      <c r="C3" s="85"/>
      <c r="D3" s="85" t="s">
        <v>96</v>
      </c>
      <c r="E3" s="86" t="str">
        <f>Budsjett!F3</f>
        <v>Periode 1 (1-18 month)</v>
      </c>
      <c r="F3" s="86" t="str">
        <f>Budsjett!G3</f>
        <v>Periode 2 (19-36 month)</v>
      </c>
      <c r="G3" s="86" t="str">
        <f>Budsjett!H3</f>
        <v>Periode 3 (37-54 month)</v>
      </c>
      <c r="H3" s="86" t="str">
        <f>Budsjett!I3</f>
        <v>Periode 4 (55-60 (72) month)</v>
      </c>
      <c r="I3" s="86" t="e">
        <f t="shared" ref="I3:N3" si="0">H3+1</f>
        <v>#VALUE!</v>
      </c>
      <c r="J3" s="86" t="e">
        <f t="shared" si="0"/>
        <v>#VALUE!</v>
      </c>
      <c r="K3" s="86" t="e">
        <f t="shared" si="0"/>
        <v>#VALUE!</v>
      </c>
      <c r="L3" s="86" t="e">
        <f t="shared" si="0"/>
        <v>#VALUE!</v>
      </c>
      <c r="M3" s="86" t="e">
        <f t="shared" si="0"/>
        <v>#VALUE!</v>
      </c>
      <c r="N3" s="86" t="e">
        <f t="shared" si="0"/>
        <v>#VALUE!</v>
      </c>
      <c r="O3" s="87" t="s">
        <v>72</v>
      </c>
    </row>
    <row r="4" spans="1:15" ht="15" x14ac:dyDescent="0.25">
      <c r="A4" s="133" t="s">
        <v>130</v>
      </c>
      <c r="B4" s="98"/>
      <c r="C4" s="27"/>
      <c r="D4" s="127"/>
      <c r="E4" s="128"/>
      <c r="F4" s="128"/>
      <c r="G4" s="128"/>
      <c r="H4" s="128"/>
      <c r="I4" s="128"/>
      <c r="J4" s="128"/>
      <c r="K4" s="128"/>
      <c r="L4" s="128"/>
      <c r="M4" s="128"/>
      <c r="N4" s="128"/>
      <c r="O4" s="22">
        <f>SUM(E4:N4)</f>
        <v>0</v>
      </c>
    </row>
    <row r="5" spans="1:15" ht="15" x14ac:dyDescent="0.25">
      <c r="A5" s="98" t="s">
        <v>131</v>
      </c>
      <c r="B5" s="98"/>
      <c r="C5" s="27"/>
      <c r="D5" s="362"/>
      <c r="E5" s="374"/>
      <c r="F5" s="374"/>
      <c r="G5" s="374"/>
      <c r="H5" s="374"/>
      <c r="I5" s="374"/>
      <c r="J5" s="374"/>
      <c r="K5" s="374"/>
      <c r="L5" s="374"/>
      <c r="M5" s="374"/>
      <c r="N5" s="374"/>
      <c r="O5" s="22"/>
    </row>
    <row r="6" spans="1:15" ht="15" x14ac:dyDescent="0.25">
      <c r="A6" s="98" t="s">
        <v>132</v>
      </c>
      <c r="B6" s="98"/>
      <c r="C6" s="27"/>
      <c r="D6" s="362"/>
      <c r="E6" s="374"/>
      <c r="F6" s="374"/>
      <c r="G6" s="374"/>
      <c r="H6" s="374"/>
      <c r="I6" s="374"/>
      <c r="J6" s="374"/>
      <c r="K6" s="374"/>
      <c r="L6" s="374"/>
      <c r="M6" s="374"/>
      <c r="N6" s="374"/>
      <c r="O6" s="22"/>
    </row>
    <row r="7" spans="1:15" ht="15" x14ac:dyDescent="0.25">
      <c r="A7" s="24" t="s">
        <v>133</v>
      </c>
      <c r="B7" s="98" t="s">
        <v>55</v>
      </c>
      <c r="C7" s="27"/>
      <c r="D7" s="362"/>
      <c r="E7" s="22">
        <f>E5*E6</f>
        <v>0</v>
      </c>
      <c r="F7" s="22">
        <f t="shared" ref="F7:N7" si="1">F5*F6</f>
        <v>0</v>
      </c>
      <c r="G7" s="22">
        <f t="shared" si="1"/>
        <v>0</v>
      </c>
      <c r="H7" s="22">
        <f t="shared" si="1"/>
        <v>0</v>
      </c>
      <c r="I7" s="22">
        <f t="shared" si="1"/>
        <v>0</v>
      </c>
      <c r="J7" s="22">
        <f t="shared" si="1"/>
        <v>0</v>
      </c>
      <c r="K7" s="22">
        <f t="shared" si="1"/>
        <v>0</v>
      </c>
      <c r="L7" s="22">
        <f t="shared" si="1"/>
        <v>0</v>
      </c>
      <c r="M7" s="22">
        <f t="shared" si="1"/>
        <v>0</v>
      </c>
      <c r="N7" s="22">
        <f t="shared" si="1"/>
        <v>0</v>
      </c>
      <c r="O7" s="22">
        <f>SUM(E7:N7)</f>
        <v>0</v>
      </c>
    </row>
    <row r="8" spans="1:15" ht="15" x14ac:dyDescent="0.25">
      <c r="A8" s="133" t="s">
        <v>134</v>
      </c>
      <c r="B8" s="98"/>
      <c r="C8" s="27"/>
      <c r="D8" s="362"/>
      <c r="E8" s="374"/>
      <c r="F8" s="374"/>
      <c r="G8" s="374"/>
      <c r="H8" s="374"/>
      <c r="I8" s="374"/>
      <c r="J8" s="374"/>
      <c r="K8" s="374"/>
      <c r="L8" s="374"/>
      <c r="M8" s="374"/>
      <c r="N8" s="374"/>
      <c r="O8" s="22"/>
    </row>
    <row r="9" spans="1:15" ht="15" x14ac:dyDescent="0.25">
      <c r="A9" s="98" t="s">
        <v>131</v>
      </c>
      <c r="B9" s="98"/>
      <c r="C9" s="27"/>
      <c r="D9" s="362"/>
      <c r="E9" s="374"/>
      <c r="F9" s="374"/>
      <c r="G9" s="374"/>
      <c r="H9" s="374"/>
      <c r="I9" s="374"/>
      <c r="J9" s="374"/>
      <c r="K9" s="374"/>
      <c r="L9" s="374"/>
      <c r="M9" s="374"/>
      <c r="N9" s="374"/>
      <c r="O9" s="22"/>
    </row>
    <row r="10" spans="1:15" ht="15" x14ac:dyDescent="0.25">
      <c r="A10" s="98" t="s">
        <v>132</v>
      </c>
      <c r="B10" s="98"/>
      <c r="C10" s="27"/>
      <c r="D10" s="362"/>
      <c r="E10" s="374"/>
      <c r="F10" s="374"/>
      <c r="G10" s="374"/>
      <c r="H10" s="374"/>
      <c r="I10" s="374"/>
      <c r="J10" s="374"/>
      <c r="K10" s="374"/>
      <c r="L10" s="374"/>
      <c r="M10" s="374"/>
      <c r="N10" s="374"/>
      <c r="O10" s="22"/>
    </row>
    <row r="11" spans="1:15" ht="15" x14ac:dyDescent="0.25">
      <c r="A11" s="24" t="s">
        <v>133</v>
      </c>
      <c r="B11" s="98" t="s">
        <v>55</v>
      </c>
      <c r="C11" s="27"/>
      <c r="D11" s="362"/>
      <c r="E11" s="375">
        <f>E9*E10</f>
        <v>0</v>
      </c>
      <c r="F11" s="375">
        <f t="shared" ref="F11:N11" si="2">F9*F10</f>
        <v>0</v>
      </c>
      <c r="G11" s="375">
        <f t="shared" si="2"/>
        <v>0</v>
      </c>
      <c r="H11" s="375">
        <f t="shared" si="2"/>
        <v>0</v>
      </c>
      <c r="I11" s="375">
        <f t="shared" si="2"/>
        <v>0</v>
      </c>
      <c r="J11" s="375">
        <f t="shared" si="2"/>
        <v>0</v>
      </c>
      <c r="K11" s="375">
        <f t="shared" si="2"/>
        <v>0</v>
      </c>
      <c r="L11" s="375">
        <f t="shared" si="2"/>
        <v>0</v>
      </c>
      <c r="M11" s="375">
        <f t="shared" si="2"/>
        <v>0</v>
      </c>
      <c r="N11" s="375">
        <f t="shared" si="2"/>
        <v>0</v>
      </c>
      <c r="O11" s="22">
        <f>SUM(E11:N11)</f>
        <v>0</v>
      </c>
    </row>
    <row r="12" spans="1:15" ht="15" x14ac:dyDescent="0.25">
      <c r="A12" s="133" t="s">
        <v>135</v>
      </c>
      <c r="B12" s="98"/>
      <c r="C12" s="27"/>
      <c r="D12" s="362"/>
      <c r="E12" s="374"/>
      <c r="F12" s="374"/>
      <c r="G12" s="374"/>
      <c r="H12" s="374"/>
      <c r="I12" s="374"/>
      <c r="J12" s="374"/>
      <c r="K12" s="374"/>
      <c r="L12" s="374"/>
      <c r="M12" s="374"/>
      <c r="N12" s="374"/>
      <c r="O12" s="22"/>
    </row>
    <row r="13" spans="1:15" ht="15" x14ac:dyDescent="0.25">
      <c r="A13" s="98" t="s">
        <v>131</v>
      </c>
      <c r="B13" s="98"/>
      <c r="C13" s="27"/>
      <c r="D13" s="362"/>
      <c r="E13" s="374"/>
      <c r="F13" s="374"/>
      <c r="G13" s="374"/>
      <c r="H13" s="374"/>
      <c r="I13" s="374"/>
      <c r="J13" s="374"/>
      <c r="K13" s="374"/>
      <c r="L13" s="374"/>
      <c r="M13" s="374"/>
      <c r="N13" s="374"/>
      <c r="O13" s="22"/>
    </row>
    <row r="14" spans="1:15" ht="15" x14ac:dyDescent="0.25">
      <c r="A14" s="98" t="s">
        <v>132</v>
      </c>
      <c r="B14" s="98"/>
      <c r="C14" s="27"/>
      <c r="D14" s="362"/>
      <c r="E14" s="374"/>
      <c r="F14" s="374"/>
      <c r="G14" s="374"/>
      <c r="H14" s="374"/>
      <c r="I14" s="374"/>
      <c r="J14" s="374"/>
      <c r="K14" s="374"/>
      <c r="L14" s="374"/>
      <c r="M14" s="374"/>
      <c r="N14" s="374"/>
      <c r="O14" s="22"/>
    </row>
    <row r="15" spans="1:15" ht="15" x14ac:dyDescent="0.25">
      <c r="A15" s="24" t="s">
        <v>133</v>
      </c>
      <c r="B15" s="98" t="s">
        <v>56</v>
      </c>
      <c r="C15" s="27"/>
      <c r="D15" s="362"/>
      <c r="E15" s="375">
        <f>E13*E14</f>
        <v>0</v>
      </c>
      <c r="F15" s="375">
        <f t="shared" ref="F15:N15" si="3">F13*F14</f>
        <v>0</v>
      </c>
      <c r="G15" s="375">
        <f t="shared" si="3"/>
        <v>0</v>
      </c>
      <c r="H15" s="375">
        <f t="shared" si="3"/>
        <v>0</v>
      </c>
      <c r="I15" s="375">
        <f t="shared" si="3"/>
        <v>0</v>
      </c>
      <c r="J15" s="375">
        <f t="shared" si="3"/>
        <v>0</v>
      </c>
      <c r="K15" s="375">
        <f t="shared" si="3"/>
        <v>0</v>
      </c>
      <c r="L15" s="375">
        <f t="shared" si="3"/>
        <v>0</v>
      </c>
      <c r="M15" s="375">
        <f t="shared" si="3"/>
        <v>0</v>
      </c>
      <c r="N15" s="375">
        <f t="shared" si="3"/>
        <v>0</v>
      </c>
      <c r="O15" s="22">
        <f>SUM(E15:N15)</f>
        <v>0</v>
      </c>
    </row>
    <row r="16" spans="1:15" ht="15" x14ac:dyDescent="0.25">
      <c r="A16" s="133" t="s">
        <v>136</v>
      </c>
      <c r="B16" s="98"/>
      <c r="C16" s="27"/>
      <c r="D16" s="362"/>
      <c r="E16" s="374"/>
      <c r="F16" s="374"/>
      <c r="G16" s="374"/>
      <c r="H16" s="374"/>
      <c r="I16" s="374"/>
      <c r="J16" s="374"/>
      <c r="K16" s="374"/>
      <c r="L16" s="374"/>
      <c r="M16" s="374"/>
      <c r="N16" s="374"/>
      <c r="O16" s="22"/>
    </row>
    <row r="17" spans="1:15" ht="15" x14ac:dyDescent="0.25">
      <c r="A17" s="98" t="s">
        <v>131</v>
      </c>
      <c r="B17" s="98"/>
      <c r="C17" s="27"/>
      <c r="D17" s="362"/>
      <c r="E17" s="374"/>
      <c r="F17" s="374"/>
      <c r="G17" s="374"/>
      <c r="H17" s="374"/>
      <c r="I17" s="374"/>
      <c r="J17" s="374"/>
      <c r="K17" s="374"/>
      <c r="L17" s="374"/>
      <c r="M17" s="374"/>
      <c r="N17" s="374"/>
      <c r="O17" s="22"/>
    </row>
    <row r="18" spans="1:15" ht="15" x14ac:dyDescent="0.25">
      <c r="A18" s="98" t="s">
        <v>132</v>
      </c>
      <c r="B18" s="98"/>
      <c r="C18" s="27"/>
      <c r="D18" s="362"/>
      <c r="E18" s="374"/>
      <c r="F18" s="374"/>
      <c r="G18" s="374"/>
      <c r="H18" s="374"/>
      <c r="I18" s="374"/>
      <c r="J18" s="374"/>
      <c r="K18" s="374"/>
      <c r="L18" s="374"/>
      <c r="M18" s="374"/>
      <c r="N18" s="374"/>
      <c r="O18" s="22"/>
    </row>
    <row r="19" spans="1:15" ht="15" x14ac:dyDescent="0.25">
      <c r="A19" s="24" t="s">
        <v>133</v>
      </c>
      <c r="B19" s="98" t="s">
        <v>56</v>
      </c>
      <c r="C19" s="27"/>
      <c r="D19" s="362"/>
      <c r="E19" s="375">
        <f>E17*E18</f>
        <v>0</v>
      </c>
      <c r="F19" s="375">
        <f t="shared" ref="F19:N19" si="4">F17*F18</f>
        <v>0</v>
      </c>
      <c r="G19" s="375">
        <f t="shared" si="4"/>
        <v>0</v>
      </c>
      <c r="H19" s="375">
        <f t="shared" si="4"/>
        <v>0</v>
      </c>
      <c r="I19" s="375">
        <f t="shared" si="4"/>
        <v>0</v>
      </c>
      <c r="J19" s="375">
        <f t="shared" si="4"/>
        <v>0</v>
      </c>
      <c r="K19" s="375">
        <f t="shared" si="4"/>
        <v>0</v>
      </c>
      <c r="L19" s="375">
        <f t="shared" si="4"/>
        <v>0</v>
      </c>
      <c r="M19" s="375">
        <f t="shared" si="4"/>
        <v>0</v>
      </c>
      <c r="N19" s="375">
        <f t="shared" si="4"/>
        <v>0</v>
      </c>
      <c r="O19" s="22">
        <f>SUM(E19:N19)</f>
        <v>0</v>
      </c>
    </row>
    <row r="20" spans="1:15" ht="15" x14ac:dyDescent="0.25">
      <c r="A20" s="133" t="s">
        <v>137</v>
      </c>
      <c r="B20" s="98"/>
      <c r="C20" s="27"/>
      <c r="D20" s="362"/>
      <c r="E20" s="374"/>
      <c r="F20" s="374"/>
      <c r="G20" s="374"/>
      <c r="H20" s="374"/>
      <c r="I20" s="374"/>
      <c r="J20" s="374"/>
      <c r="K20" s="374"/>
      <c r="L20" s="374"/>
      <c r="M20" s="374"/>
      <c r="N20" s="374"/>
      <c r="O20" s="22"/>
    </row>
    <row r="21" spans="1:15" ht="15" x14ac:dyDescent="0.25">
      <c r="A21" s="98" t="s">
        <v>131</v>
      </c>
      <c r="B21" s="98"/>
      <c r="C21" s="27"/>
      <c r="D21" s="362"/>
      <c r="E21" s="374"/>
      <c r="F21" s="374"/>
      <c r="G21" s="374"/>
      <c r="H21" s="374"/>
      <c r="I21" s="374"/>
      <c r="J21" s="374"/>
      <c r="K21" s="374"/>
      <c r="L21" s="374"/>
      <c r="M21" s="374"/>
      <c r="N21" s="374"/>
      <c r="O21" s="22"/>
    </row>
    <row r="22" spans="1:15" ht="15" x14ac:dyDescent="0.25">
      <c r="A22" s="98" t="s">
        <v>132</v>
      </c>
      <c r="B22" s="98"/>
      <c r="C22" s="27"/>
      <c r="D22" s="362"/>
      <c r="E22" s="374"/>
      <c r="F22" s="374"/>
      <c r="G22" s="374"/>
      <c r="H22" s="374"/>
      <c r="I22" s="374"/>
      <c r="J22" s="374"/>
      <c r="K22" s="374"/>
      <c r="L22" s="374"/>
      <c r="M22" s="374"/>
      <c r="N22" s="374"/>
      <c r="O22" s="22"/>
    </row>
    <row r="23" spans="1:15" ht="15" x14ac:dyDescent="0.25">
      <c r="A23" s="24" t="s">
        <v>133</v>
      </c>
      <c r="B23" s="98" t="s">
        <v>56</v>
      </c>
      <c r="C23" s="27"/>
      <c r="D23" s="362"/>
      <c r="E23" s="375">
        <f>E21*E22</f>
        <v>0</v>
      </c>
      <c r="F23" s="375">
        <f t="shared" ref="F23:N23" si="5">F21*F22</f>
        <v>0</v>
      </c>
      <c r="G23" s="375">
        <f t="shared" si="5"/>
        <v>0</v>
      </c>
      <c r="H23" s="375">
        <f t="shared" si="5"/>
        <v>0</v>
      </c>
      <c r="I23" s="375">
        <f t="shared" si="5"/>
        <v>0</v>
      </c>
      <c r="J23" s="375">
        <f t="shared" si="5"/>
        <v>0</v>
      </c>
      <c r="K23" s="375">
        <f t="shared" si="5"/>
        <v>0</v>
      </c>
      <c r="L23" s="375">
        <f t="shared" si="5"/>
        <v>0</v>
      </c>
      <c r="M23" s="375">
        <f t="shared" si="5"/>
        <v>0</v>
      </c>
      <c r="N23" s="375">
        <f t="shared" si="5"/>
        <v>0</v>
      </c>
      <c r="O23" s="22">
        <f>SUM(E23:N23)</f>
        <v>0</v>
      </c>
    </row>
    <row r="24" spans="1:15" ht="15" x14ac:dyDescent="0.25">
      <c r="A24" s="133" t="s">
        <v>138</v>
      </c>
      <c r="B24" s="98"/>
      <c r="C24" s="27"/>
      <c r="D24" s="362"/>
      <c r="E24" s="374"/>
      <c r="F24" s="374"/>
      <c r="G24" s="374"/>
      <c r="H24" s="374"/>
      <c r="I24" s="374"/>
      <c r="J24" s="374"/>
      <c r="K24" s="374"/>
      <c r="L24" s="374"/>
      <c r="M24" s="374"/>
      <c r="N24" s="374"/>
      <c r="O24" s="22"/>
    </row>
    <row r="25" spans="1:15" ht="15" x14ac:dyDescent="0.25">
      <c r="A25" s="98" t="s">
        <v>131</v>
      </c>
      <c r="B25" s="98"/>
      <c r="C25" s="27"/>
      <c r="D25" s="362"/>
      <c r="E25" s="374"/>
      <c r="F25" s="374"/>
      <c r="G25" s="374"/>
      <c r="H25" s="374"/>
      <c r="I25" s="374"/>
      <c r="J25" s="374"/>
      <c r="K25" s="374"/>
      <c r="L25" s="374"/>
      <c r="M25" s="374"/>
      <c r="N25" s="374"/>
      <c r="O25" s="22"/>
    </row>
    <row r="26" spans="1:15" ht="15" x14ac:dyDescent="0.25">
      <c r="A26" s="98" t="s">
        <v>132</v>
      </c>
      <c r="B26" s="98"/>
      <c r="C26" s="27"/>
      <c r="D26" s="362"/>
      <c r="E26" s="374"/>
      <c r="F26" s="374"/>
      <c r="G26" s="374"/>
      <c r="H26" s="374"/>
      <c r="I26" s="374"/>
      <c r="J26" s="374"/>
      <c r="K26" s="374"/>
      <c r="L26" s="374"/>
      <c r="M26" s="374"/>
      <c r="N26" s="374"/>
      <c r="O26" s="22"/>
    </row>
    <row r="27" spans="1:15" ht="15" x14ac:dyDescent="0.25">
      <c r="A27" s="24" t="s">
        <v>133</v>
      </c>
      <c r="B27" s="98" t="s">
        <v>56</v>
      </c>
      <c r="C27" s="27"/>
      <c r="D27" s="362"/>
      <c r="E27" s="375">
        <f>E25*E26</f>
        <v>0</v>
      </c>
      <c r="F27" s="375">
        <f t="shared" ref="F27:N27" si="6">F25*F26</f>
        <v>0</v>
      </c>
      <c r="G27" s="375">
        <f t="shared" si="6"/>
        <v>0</v>
      </c>
      <c r="H27" s="375">
        <f t="shared" si="6"/>
        <v>0</v>
      </c>
      <c r="I27" s="375">
        <f t="shared" si="6"/>
        <v>0</v>
      </c>
      <c r="J27" s="375">
        <f t="shared" si="6"/>
        <v>0</v>
      </c>
      <c r="K27" s="375">
        <f t="shared" si="6"/>
        <v>0</v>
      </c>
      <c r="L27" s="375">
        <f t="shared" si="6"/>
        <v>0</v>
      </c>
      <c r="M27" s="375">
        <f t="shared" si="6"/>
        <v>0</v>
      </c>
      <c r="N27" s="375">
        <f t="shared" si="6"/>
        <v>0</v>
      </c>
      <c r="O27" s="22">
        <f>SUM(E27:N27)</f>
        <v>0</v>
      </c>
    </row>
    <row r="28" spans="1:15" ht="15" x14ac:dyDescent="0.25">
      <c r="A28" s="133" t="s">
        <v>139</v>
      </c>
      <c r="B28" s="98"/>
      <c r="C28" s="27"/>
      <c r="D28" s="362"/>
      <c r="E28" s="374"/>
      <c r="F28" s="374"/>
      <c r="G28" s="374"/>
      <c r="H28" s="374"/>
      <c r="I28" s="374"/>
      <c r="J28" s="374"/>
      <c r="K28" s="374"/>
      <c r="L28" s="374"/>
      <c r="M28" s="374"/>
      <c r="N28" s="374"/>
      <c r="O28" s="22"/>
    </row>
    <row r="29" spans="1:15" ht="15" x14ac:dyDescent="0.25">
      <c r="A29" s="129" t="s">
        <v>131</v>
      </c>
      <c r="B29" s="98"/>
      <c r="C29" s="27"/>
      <c r="D29" s="362"/>
      <c r="E29" s="374"/>
      <c r="F29" s="374"/>
      <c r="G29" s="374"/>
      <c r="H29" s="374"/>
      <c r="I29" s="374"/>
      <c r="J29" s="374"/>
      <c r="K29" s="374"/>
      <c r="L29" s="374"/>
      <c r="M29" s="374"/>
      <c r="N29" s="374"/>
      <c r="O29" s="22"/>
    </row>
    <row r="30" spans="1:15" ht="15" x14ac:dyDescent="0.25">
      <c r="A30" s="98" t="s">
        <v>132</v>
      </c>
      <c r="B30" s="98"/>
      <c r="C30" s="27"/>
      <c r="D30" s="362"/>
      <c r="E30" s="374"/>
      <c r="F30" s="374"/>
      <c r="G30" s="374"/>
      <c r="H30" s="374"/>
      <c r="I30" s="374"/>
      <c r="J30" s="374"/>
      <c r="K30" s="374"/>
      <c r="L30" s="374"/>
      <c r="M30" s="374"/>
      <c r="N30" s="374"/>
      <c r="O30" s="22"/>
    </row>
    <row r="31" spans="1:15" ht="15" x14ac:dyDescent="0.25">
      <c r="A31" s="24" t="s">
        <v>133</v>
      </c>
      <c r="B31" s="98" t="s">
        <v>56</v>
      </c>
      <c r="C31" s="27"/>
      <c r="D31" s="362"/>
      <c r="E31" s="375">
        <f>E29*E30</f>
        <v>0</v>
      </c>
      <c r="F31" s="375">
        <f t="shared" ref="F31:N31" si="7">F29*F30</f>
        <v>0</v>
      </c>
      <c r="G31" s="375">
        <f t="shared" si="7"/>
        <v>0</v>
      </c>
      <c r="H31" s="375">
        <f t="shared" si="7"/>
        <v>0</v>
      </c>
      <c r="I31" s="375">
        <f t="shared" si="7"/>
        <v>0</v>
      </c>
      <c r="J31" s="375">
        <f t="shared" si="7"/>
        <v>0</v>
      </c>
      <c r="K31" s="375">
        <f t="shared" si="7"/>
        <v>0</v>
      </c>
      <c r="L31" s="375">
        <f t="shared" si="7"/>
        <v>0</v>
      </c>
      <c r="M31" s="375">
        <f t="shared" si="7"/>
        <v>0</v>
      </c>
      <c r="N31" s="375">
        <f t="shared" si="7"/>
        <v>0</v>
      </c>
      <c r="O31" s="22">
        <f>SUM(E31:N31)</f>
        <v>0</v>
      </c>
    </row>
    <row r="32" spans="1:15" ht="15" x14ac:dyDescent="0.25">
      <c r="A32" s="133" t="s">
        <v>140</v>
      </c>
      <c r="B32" s="98"/>
      <c r="C32" s="27"/>
      <c r="D32" s="362"/>
      <c r="E32" s="374"/>
      <c r="F32" s="374"/>
      <c r="G32" s="374"/>
      <c r="H32" s="374"/>
      <c r="I32" s="374"/>
      <c r="J32" s="374"/>
      <c r="K32" s="374"/>
      <c r="L32" s="374"/>
      <c r="M32" s="374"/>
      <c r="N32" s="374"/>
      <c r="O32" s="22"/>
    </row>
    <row r="33" spans="1:15" ht="15" x14ac:dyDescent="0.25">
      <c r="A33" s="129" t="s">
        <v>131</v>
      </c>
      <c r="B33" s="98"/>
      <c r="C33" s="27"/>
      <c r="D33" s="362"/>
      <c r="E33" s="374"/>
      <c r="F33" s="374"/>
      <c r="G33" s="374"/>
      <c r="H33" s="374"/>
      <c r="I33" s="374"/>
      <c r="J33" s="374"/>
      <c r="K33" s="374"/>
      <c r="L33" s="374"/>
      <c r="M33" s="374"/>
      <c r="N33" s="374"/>
      <c r="O33" s="22"/>
    </row>
    <row r="34" spans="1:15" ht="15" x14ac:dyDescent="0.25">
      <c r="A34" s="98" t="s">
        <v>132</v>
      </c>
      <c r="B34" s="98"/>
      <c r="C34" s="27"/>
      <c r="D34" s="362"/>
      <c r="E34" s="374"/>
      <c r="F34" s="374"/>
      <c r="G34" s="374"/>
      <c r="H34" s="374"/>
      <c r="I34" s="374"/>
      <c r="J34" s="374"/>
      <c r="K34" s="374"/>
      <c r="L34" s="374"/>
      <c r="M34" s="374"/>
      <c r="N34" s="374"/>
      <c r="O34" s="22"/>
    </row>
    <row r="35" spans="1:15" ht="15" x14ac:dyDescent="0.25">
      <c r="A35" s="24" t="s">
        <v>133</v>
      </c>
      <c r="B35" s="98" t="s">
        <v>56</v>
      </c>
      <c r="C35" s="27"/>
      <c r="D35" s="362"/>
      <c r="E35" s="375">
        <f>E33*E34</f>
        <v>0</v>
      </c>
      <c r="F35" s="375">
        <f t="shared" ref="F35:N35" si="8">F33*F34</f>
        <v>0</v>
      </c>
      <c r="G35" s="375">
        <f t="shared" si="8"/>
        <v>0</v>
      </c>
      <c r="H35" s="375">
        <f t="shared" si="8"/>
        <v>0</v>
      </c>
      <c r="I35" s="375">
        <f t="shared" si="8"/>
        <v>0</v>
      </c>
      <c r="J35" s="375">
        <f t="shared" si="8"/>
        <v>0</v>
      </c>
      <c r="K35" s="375">
        <f t="shared" si="8"/>
        <v>0</v>
      </c>
      <c r="L35" s="375">
        <f t="shared" si="8"/>
        <v>0</v>
      </c>
      <c r="M35" s="375">
        <f t="shared" si="8"/>
        <v>0</v>
      </c>
      <c r="N35" s="375">
        <f t="shared" si="8"/>
        <v>0</v>
      </c>
      <c r="O35" s="22">
        <f>SUM(E35:N35)</f>
        <v>0</v>
      </c>
    </row>
    <row r="36" spans="1:15" ht="15" x14ac:dyDescent="0.25">
      <c r="A36" s="133" t="s">
        <v>141</v>
      </c>
      <c r="B36" s="98"/>
      <c r="C36" s="27"/>
      <c r="D36" s="362"/>
      <c r="E36" s="374"/>
      <c r="F36" s="374"/>
      <c r="G36" s="374"/>
      <c r="H36" s="374"/>
      <c r="I36" s="374"/>
      <c r="J36" s="374"/>
      <c r="K36" s="374"/>
      <c r="L36" s="374"/>
      <c r="M36" s="374"/>
      <c r="N36" s="374"/>
      <c r="O36" s="22"/>
    </row>
    <row r="37" spans="1:15" ht="15" x14ac:dyDescent="0.25">
      <c r="A37" s="129" t="s">
        <v>131</v>
      </c>
      <c r="B37" s="98"/>
      <c r="C37" s="27"/>
      <c r="D37" s="362"/>
      <c r="E37" s="374"/>
      <c r="F37" s="374"/>
      <c r="G37" s="374"/>
      <c r="H37" s="374"/>
      <c r="I37" s="374"/>
      <c r="J37" s="374"/>
      <c r="K37" s="374"/>
      <c r="L37" s="374"/>
      <c r="M37" s="374"/>
      <c r="N37" s="374"/>
      <c r="O37" s="22"/>
    </row>
    <row r="38" spans="1:15" ht="15" x14ac:dyDescent="0.25">
      <c r="A38" s="98" t="s">
        <v>132</v>
      </c>
      <c r="B38" s="98"/>
      <c r="C38" s="27"/>
      <c r="D38" s="362"/>
      <c r="E38" s="374"/>
      <c r="F38" s="374"/>
      <c r="G38" s="374"/>
      <c r="H38" s="374"/>
      <c r="I38" s="374"/>
      <c r="J38" s="374"/>
      <c r="K38" s="374"/>
      <c r="L38" s="374"/>
      <c r="M38" s="374"/>
      <c r="N38" s="374"/>
      <c r="O38" s="22"/>
    </row>
    <row r="39" spans="1:15" ht="15" x14ac:dyDescent="0.25">
      <c r="A39" s="24" t="s">
        <v>133</v>
      </c>
      <c r="B39" s="98" t="s">
        <v>56</v>
      </c>
      <c r="C39" s="27"/>
      <c r="D39" s="362"/>
      <c r="E39" s="375">
        <f>E37*E38</f>
        <v>0</v>
      </c>
      <c r="F39" s="375">
        <f t="shared" ref="F39:N39" si="9">F37*F38</f>
        <v>0</v>
      </c>
      <c r="G39" s="375">
        <f t="shared" si="9"/>
        <v>0</v>
      </c>
      <c r="H39" s="375">
        <f t="shared" si="9"/>
        <v>0</v>
      </c>
      <c r="I39" s="375">
        <f t="shared" si="9"/>
        <v>0</v>
      </c>
      <c r="J39" s="375">
        <f t="shared" si="9"/>
        <v>0</v>
      </c>
      <c r="K39" s="375">
        <f t="shared" si="9"/>
        <v>0</v>
      </c>
      <c r="L39" s="375">
        <f t="shared" si="9"/>
        <v>0</v>
      </c>
      <c r="M39" s="375">
        <f t="shared" si="9"/>
        <v>0</v>
      </c>
      <c r="N39" s="375">
        <f t="shared" si="9"/>
        <v>0</v>
      </c>
      <c r="O39" s="22">
        <f>SUM(E39:N39)</f>
        <v>0</v>
      </c>
    </row>
    <row r="40" spans="1:15" ht="15" x14ac:dyDescent="0.25">
      <c r="A40" s="133" t="s">
        <v>142</v>
      </c>
      <c r="B40" s="98"/>
      <c r="C40" s="27"/>
      <c r="D40" s="362"/>
      <c r="E40" s="374"/>
      <c r="F40" s="374"/>
      <c r="G40" s="374"/>
      <c r="H40" s="374"/>
      <c r="I40" s="374"/>
      <c r="J40" s="374"/>
      <c r="K40" s="374"/>
      <c r="L40" s="374"/>
      <c r="M40" s="374"/>
      <c r="N40" s="374"/>
      <c r="O40" s="22"/>
    </row>
    <row r="41" spans="1:15" ht="15" x14ac:dyDescent="0.25">
      <c r="A41" s="129" t="s">
        <v>131</v>
      </c>
      <c r="B41" s="98"/>
      <c r="C41" s="27"/>
      <c r="D41" s="362"/>
      <c r="E41" s="374"/>
      <c r="F41" s="374"/>
      <c r="G41" s="374"/>
      <c r="H41" s="374"/>
      <c r="I41" s="374"/>
      <c r="J41" s="374"/>
      <c r="K41" s="374"/>
      <c r="L41" s="374"/>
      <c r="M41" s="374"/>
      <c r="N41" s="374"/>
      <c r="O41" s="22"/>
    </row>
    <row r="42" spans="1:15" ht="15" x14ac:dyDescent="0.25">
      <c r="A42" s="98" t="s">
        <v>132</v>
      </c>
      <c r="B42" s="98"/>
      <c r="C42" s="27"/>
      <c r="D42" s="362"/>
      <c r="E42" s="374"/>
      <c r="F42" s="374"/>
      <c r="G42" s="374"/>
      <c r="H42" s="374"/>
      <c r="I42" s="374"/>
      <c r="J42" s="374"/>
      <c r="K42" s="374"/>
      <c r="L42" s="374"/>
      <c r="M42" s="374"/>
      <c r="N42" s="374"/>
      <c r="O42" s="22"/>
    </row>
    <row r="43" spans="1:15" ht="15" x14ac:dyDescent="0.25">
      <c r="A43" s="24" t="s">
        <v>133</v>
      </c>
      <c r="B43" s="98" t="s">
        <v>56</v>
      </c>
      <c r="C43" s="27"/>
      <c r="D43" s="362"/>
      <c r="E43" s="375">
        <f>E41*E42</f>
        <v>0</v>
      </c>
      <c r="F43" s="375">
        <f t="shared" ref="F43:N43" si="10">F41*F42</f>
        <v>0</v>
      </c>
      <c r="G43" s="375">
        <f t="shared" si="10"/>
        <v>0</v>
      </c>
      <c r="H43" s="375">
        <f t="shared" si="10"/>
        <v>0</v>
      </c>
      <c r="I43" s="375">
        <f t="shared" si="10"/>
        <v>0</v>
      </c>
      <c r="J43" s="375">
        <f t="shared" si="10"/>
        <v>0</v>
      </c>
      <c r="K43" s="375">
        <f t="shared" si="10"/>
        <v>0</v>
      </c>
      <c r="L43" s="375">
        <f t="shared" si="10"/>
        <v>0</v>
      </c>
      <c r="M43" s="375">
        <f t="shared" si="10"/>
        <v>0</v>
      </c>
      <c r="N43" s="375">
        <f t="shared" si="10"/>
        <v>0</v>
      </c>
      <c r="O43" s="22">
        <f>SUM(E43:N43)</f>
        <v>0</v>
      </c>
    </row>
    <row r="44" spans="1:15" ht="15" x14ac:dyDescent="0.25">
      <c r="A44" s="133" t="s">
        <v>143</v>
      </c>
      <c r="B44" s="98"/>
      <c r="C44" s="27"/>
      <c r="D44" s="362"/>
      <c r="E44" s="374"/>
      <c r="F44" s="374"/>
      <c r="G44" s="374"/>
      <c r="H44" s="374"/>
      <c r="I44" s="374"/>
      <c r="J44" s="374"/>
      <c r="K44" s="374"/>
      <c r="L44" s="374"/>
      <c r="M44" s="374"/>
      <c r="N44" s="374"/>
      <c r="O44" s="22"/>
    </row>
    <row r="45" spans="1:15" ht="15" x14ac:dyDescent="0.25">
      <c r="A45" s="98" t="s">
        <v>131</v>
      </c>
      <c r="B45" s="98"/>
      <c r="C45" s="27"/>
      <c r="D45" s="362"/>
      <c r="E45" s="374"/>
      <c r="F45" s="374"/>
      <c r="G45" s="374"/>
      <c r="H45" s="374"/>
      <c r="I45" s="374"/>
      <c r="J45" s="374"/>
      <c r="K45" s="374"/>
      <c r="L45" s="374"/>
      <c r="M45" s="374"/>
      <c r="N45" s="374"/>
      <c r="O45" s="22"/>
    </row>
    <row r="46" spans="1:15" ht="15" x14ac:dyDescent="0.25">
      <c r="A46" s="98" t="s">
        <v>132</v>
      </c>
      <c r="B46" s="98"/>
      <c r="C46" s="27"/>
      <c r="D46" s="362"/>
      <c r="E46" s="374"/>
      <c r="F46" s="374"/>
      <c r="G46" s="374"/>
      <c r="H46" s="374"/>
      <c r="I46" s="374"/>
      <c r="J46" s="374"/>
      <c r="K46" s="374"/>
      <c r="L46" s="374"/>
      <c r="M46" s="374"/>
      <c r="N46" s="374"/>
      <c r="O46" s="22"/>
    </row>
    <row r="47" spans="1:15" ht="15" x14ac:dyDescent="0.25">
      <c r="A47" s="24" t="s">
        <v>133</v>
      </c>
      <c r="B47" s="98" t="s">
        <v>56</v>
      </c>
      <c r="C47" s="27"/>
      <c r="D47" s="362"/>
      <c r="E47" s="375">
        <f>E45*E46</f>
        <v>0</v>
      </c>
      <c r="F47" s="375">
        <f t="shared" ref="F47:N47" si="11">F45*F46</f>
        <v>0</v>
      </c>
      <c r="G47" s="375">
        <f t="shared" si="11"/>
        <v>0</v>
      </c>
      <c r="H47" s="375">
        <f t="shared" si="11"/>
        <v>0</v>
      </c>
      <c r="I47" s="375">
        <f t="shared" si="11"/>
        <v>0</v>
      </c>
      <c r="J47" s="375">
        <f t="shared" si="11"/>
        <v>0</v>
      </c>
      <c r="K47" s="375">
        <f t="shared" si="11"/>
        <v>0</v>
      </c>
      <c r="L47" s="375">
        <f t="shared" si="11"/>
        <v>0</v>
      </c>
      <c r="M47" s="375">
        <f t="shared" si="11"/>
        <v>0</v>
      </c>
      <c r="N47" s="375">
        <f t="shared" si="11"/>
        <v>0</v>
      </c>
      <c r="O47" s="22">
        <f>SUM(E47:N47)</f>
        <v>0</v>
      </c>
    </row>
    <row r="48" spans="1:15" ht="15" x14ac:dyDescent="0.25">
      <c r="A48" s="133" t="s">
        <v>144</v>
      </c>
      <c r="B48" s="98"/>
      <c r="C48" s="27"/>
      <c r="D48" s="362"/>
      <c r="E48" s="374"/>
      <c r="F48" s="374"/>
      <c r="G48" s="374"/>
      <c r="H48" s="374"/>
      <c r="I48" s="374"/>
      <c r="J48" s="374"/>
      <c r="K48" s="374"/>
      <c r="L48" s="374"/>
      <c r="M48" s="374"/>
      <c r="N48" s="374"/>
      <c r="O48" s="22"/>
    </row>
    <row r="49" spans="1:15" ht="15" x14ac:dyDescent="0.25">
      <c r="A49" s="98" t="s">
        <v>131</v>
      </c>
      <c r="B49" s="98"/>
      <c r="C49" s="27"/>
      <c r="D49" s="362"/>
      <c r="E49" s="374"/>
      <c r="F49" s="374"/>
      <c r="G49" s="374"/>
      <c r="H49" s="374"/>
      <c r="I49" s="374"/>
      <c r="J49" s="374"/>
      <c r="K49" s="374"/>
      <c r="L49" s="374"/>
      <c r="M49" s="374"/>
      <c r="N49" s="374"/>
      <c r="O49" s="22"/>
    </row>
    <row r="50" spans="1:15" ht="15" x14ac:dyDescent="0.25">
      <c r="A50" s="98" t="s">
        <v>132</v>
      </c>
      <c r="B50" s="98"/>
      <c r="C50" s="27"/>
      <c r="D50" s="362"/>
      <c r="E50" s="374"/>
      <c r="F50" s="374"/>
      <c r="G50" s="374"/>
      <c r="H50" s="374"/>
      <c r="I50" s="374"/>
      <c r="J50" s="374"/>
      <c r="K50" s="374"/>
      <c r="L50" s="374"/>
      <c r="M50" s="374"/>
      <c r="N50" s="374"/>
      <c r="O50" s="22"/>
    </row>
    <row r="51" spans="1:15" ht="15" x14ac:dyDescent="0.25">
      <c r="A51" s="24" t="s">
        <v>133</v>
      </c>
      <c r="B51" s="98" t="s">
        <v>56</v>
      </c>
      <c r="C51" s="27"/>
      <c r="D51" s="362"/>
      <c r="E51" s="375">
        <f>E49*E50</f>
        <v>0</v>
      </c>
      <c r="F51" s="375">
        <f t="shared" ref="F51:N51" si="12">F49*F50</f>
        <v>0</v>
      </c>
      <c r="G51" s="375">
        <f t="shared" si="12"/>
        <v>0</v>
      </c>
      <c r="H51" s="375">
        <f t="shared" si="12"/>
        <v>0</v>
      </c>
      <c r="I51" s="375">
        <f t="shared" si="12"/>
        <v>0</v>
      </c>
      <c r="J51" s="375">
        <f t="shared" si="12"/>
        <v>0</v>
      </c>
      <c r="K51" s="375">
        <f t="shared" si="12"/>
        <v>0</v>
      </c>
      <c r="L51" s="375">
        <f t="shared" si="12"/>
        <v>0</v>
      </c>
      <c r="M51" s="375">
        <f t="shared" si="12"/>
        <v>0</v>
      </c>
      <c r="N51" s="375">
        <f t="shared" si="12"/>
        <v>0</v>
      </c>
      <c r="O51" s="22">
        <f>SUM(E51:N51)</f>
        <v>0</v>
      </c>
    </row>
    <row r="52" spans="1:15" ht="15" x14ac:dyDescent="0.25">
      <c r="A52" s="133" t="s">
        <v>145</v>
      </c>
      <c r="B52" s="98"/>
      <c r="C52" s="27"/>
      <c r="D52" s="362"/>
      <c r="E52" s="374"/>
      <c r="F52" s="374"/>
      <c r="G52" s="374"/>
      <c r="H52" s="374"/>
      <c r="I52" s="374"/>
      <c r="J52" s="374"/>
      <c r="K52" s="374"/>
      <c r="L52" s="374"/>
      <c r="M52" s="374"/>
      <c r="N52" s="374"/>
      <c r="O52" s="22"/>
    </row>
    <row r="53" spans="1:15" ht="15" x14ac:dyDescent="0.25">
      <c r="A53" s="98" t="s">
        <v>131</v>
      </c>
      <c r="B53" s="98"/>
      <c r="C53" s="27"/>
      <c r="D53" s="362"/>
      <c r="E53" s="374"/>
      <c r="F53" s="374"/>
      <c r="G53" s="374"/>
      <c r="H53" s="374"/>
      <c r="I53" s="374"/>
      <c r="J53" s="374"/>
      <c r="K53" s="374"/>
      <c r="L53" s="374"/>
      <c r="M53" s="374"/>
      <c r="N53" s="374"/>
      <c r="O53" s="22"/>
    </row>
    <row r="54" spans="1:15" ht="15" x14ac:dyDescent="0.25">
      <c r="A54" s="98" t="s">
        <v>132</v>
      </c>
      <c r="B54" s="98"/>
      <c r="C54" s="27"/>
      <c r="D54" s="362"/>
      <c r="E54" s="374"/>
      <c r="F54" s="374"/>
      <c r="G54" s="374"/>
      <c r="H54" s="374"/>
      <c r="I54" s="374"/>
      <c r="J54" s="374"/>
      <c r="K54" s="374"/>
      <c r="L54" s="374"/>
      <c r="M54" s="374"/>
      <c r="N54" s="374"/>
      <c r="O54" s="22"/>
    </row>
    <row r="55" spans="1:15" ht="15" x14ac:dyDescent="0.25">
      <c r="A55" s="24" t="s">
        <v>133</v>
      </c>
      <c r="B55" s="98" t="s">
        <v>56</v>
      </c>
      <c r="C55" s="27"/>
      <c r="D55" s="362"/>
      <c r="E55" s="375">
        <f>E53*E54</f>
        <v>0</v>
      </c>
      <c r="F55" s="375">
        <f t="shared" ref="F55:N55" si="13">F53*F54</f>
        <v>0</v>
      </c>
      <c r="G55" s="375">
        <f t="shared" si="13"/>
        <v>0</v>
      </c>
      <c r="H55" s="375">
        <f t="shared" si="13"/>
        <v>0</v>
      </c>
      <c r="I55" s="375">
        <f t="shared" si="13"/>
        <v>0</v>
      </c>
      <c r="J55" s="375">
        <f t="shared" si="13"/>
        <v>0</v>
      </c>
      <c r="K55" s="375">
        <f t="shared" si="13"/>
        <v>0</v>
      </c>
      <c r="L55" s="375">
        <f t="shared" si="13"/>
        <v>0</v>
      </c>
      <c r="M55" s="375">
        <f t="shared" si="13"/>
        <v>0</v>
      </c>
      <c r="N55" s="375">
        <f t="shared" si="13"/>
        <v>0</v>
      </c>
      <c r="O55" s="22">
        <f>SUM(E55:N55)</f>
        <v>0</v>
      </c>
    </row>
    <row r="56" spans="1:15" ht="15" x14ac:dyDescent="0.25">
      <c r="A56" s="133" t="s">
        <v>146</v>
      </c>
      <c r="B56" s="98"/>
      <c r="C56" s="27"/>
      <c r="D56" s="362"/>
      <c r="E56" s="374"/>
      <c r="F56" s="374"/>
      <c r="G56" s="374"/>
      <c r="H56" s="374"/>
      <c r="I56" s="374"/>
      <c r="J56" s="374"/>
      <c r="K56" s="374"/>
      <c r="L56" s="374"/>
      <c r="M56" s="374"/>
      <c r="N56" s="374"/>
      <c r="O56" s="22"/>
    </row>
    <row r="57" spans="1:15" ht="15" x14ac:dyDescent="0.25">
      <c r="A57" s="98" t="s">
        <v>131</v>
      </c>
      <c r="B57" s="98"/>
      <c r="C57" s="27"/>
      <c r="D57" s="362"/>
      <c r="E57" s="374"/>
      <c r="F57" s="374"/>
      <c r="G57" s="374"/>
      <c r="H57" s="374"/>
      <c r="I57" s="374"/>
      <c r="J57" s="374"/>
      <c r="K57" s="374"/>
      <c r="L57" s="374"/>
      <c r="M57" s="374"/>
      <c r="N57" s="374"/>
      <c r="O57" s="22"/>
    </row>
    <row r="58" spans="1:15" ht="15" x14ac:dyDescent="0.25">
      <c r="A58" s="98" t="s">
        <v>132</v>
      </c>
      <c r="B58" s="98"/>
      <c r="C58" s="27"/>
      <c r="D58" s="362"/>
      <c r="E58" s="374"/>
      <c r="F58" s="374"/>
      <c r="G58" s="374"/>
      <c r="H58" s="374"/>
      <c r="I58" s="374"/>
      <c r="J58" s="374"/>
      <c r="K58" s="374"/>
      <c r="L58" s="374"/>
      <c r="M58" s="374"/>
      <c r="N58" s="374"/>
      <c r="O58" s="22"/>
    </row>
    <row r="59" spans="1:15" ht="15" x14ac:dyDescent="0.25">
      <c r="A59" s="24" t="s">
        <v>133</v>
      </c>
      <c r="B59" s="98" t="s">
        <v>56</v>
      </c>
      <c r="C59" s="27"/>
      <c r="D59" s="362"/>
      <c r="E59" s="375">
        <f>E57*E58</f>
        <v>0</v>
      </c>
      <c r="F59" s="375">
        <f t="shared" ref="F59:N59" si="14">F57*F58</f>
        <v>0</v>
      </c>
      <c r="G59" s="375">
        <f t="shared" si="14"/>
        <v>0</v>
      </c>
      <c r="H59" s="375">
        <f t="shared" si="14"/>
        <v>0</v>
      </c>
      <c r="I59" s="375">
        <f t="shared" si="14"/>
        <v>0</v>
      </c>
      <c r="J59" s="375">
        <f t="shared" si="14"/>
        <v>0</v>
      </c>
      <c r="K59" s="375">
        <f t="shared" si="14"/>
        <v>0</v>
      </c>
      <c r="L59" s="375">
        <f t="shared" si="14"/>
        <v>0</v>
      </c>
      <c r="M59" s="375">
        <f t="shared" si="14"/>
        <v>0</v>
      </c>
      <c r="N59" s="375">
        <f t="shared" si="14"/>
        <v>0</v>
      </c>
      <c r="O59" s="22">
        <f>SUM(E59:N59)</f>
        <v>0</v>
      </c>
    </row>
    <row r="60" spans="1:15" ht="15" x14ac:dyDescent="0.25">
      <c r="A60" s="133" t="s">
        <v>147</v>
      </c>
      <c r="B60" s="98"/>
      <c r="C60" s="27"/>
      <c r="D60" s="362"/>
      <c r="E60" s="374"/>
      <c r="F60" s="374"/>
      <c r="G60" s="374"/>
      <c r="H60" s="374"/>
      <c r="I60" s="374"/>
      <c r="J60" s="374"/>
      <c r="K60" s="374"/>
      <c r="L60" s="374"/>
      <c r="M60" s="374"/>
      <c r="N60" s="374"/>
      <c r="O60" s="22"/>
    </row>
    <row r="61" spans="1:15" ht="15" x14ac:dyDescent="0.25">
      <c r="A61" s="98" t="s">
        <v>131</v>
      </c>
      <c r="B61" s="98"/>
      <c r="C61" s="27"/>
      <c r="D61" s="362"/>
      <c r="E61" s="374"/>
      <c r="F61" s="374"/>
      <c r="G61" s="374"/>
      <c r="H61" s="374"/>
      <c r="I61" s="374"/>
      <c r="J61" s="374"/>
      <c r="K61" s="374"/>
      <c r="L61" s="374"/>
      <c r="M61" s="374"/>
      <c r="N61" s="374"/>
      <c r="O61" s="22"/>
    </row>
    <row r="62" spans="1:15" ht="15" x14ac:dyDescent="0.25">
      <c r="A62" s="98" t="s">
        <v>132</v>
      </c>
      <c r="B62" s="98"/>
      <c r="C62" s="27"/>
      <c r="D62" s="362"/>
      <c r="E62" s="374"/>
      <c r="F62" s="374"/>
      <c r="G62" s="374"/>
      <c r="H62" s="374"/>
      <c r="I62" s="374"/>
      <c r="J62" s="374"/>
      <c r="K62" s="374"/>
      <c r="L62" s="374"/>
      <c r="M62" s="374"/>
      <c r="N62" s="374"/>
      <c r="O62" s="22"/>
    </row>
    <row r="63" spans="1:15" ht="15" x14ac:dyDescent="0.25">
      <c r="A63" s="24" t="s">
        <v>133</v>
      </c>
      <c r="B63" s="98" t="s">
        <v>56</v>
      </c>
      <c r="C63" s="27"/>
      <c r="D63" s="362"/>
      <c r="E63" s="375">
        <f>E61*E62</f>
        <v>0</v>
      </c>
      <c r="F63" s="375">
        <f t="shared" ref="F63:N63" si="15">F61*F62</f>
        <v>0</v>
      </c>
      <c r="G63" s="375">
        <f t="shared" si="15"/>
        <v>0</v>
      </c>
      <c r="H63" s="375">
        <f t="shared" si="15"/>
        <v>0</v>
      </c>
      <c r="I63" s="375">
        <f t="shared" si="15"/>
        <v>0</v>
      </c>
      <c r="J63" s="375">
        <f t="shared" si="15"/>
        <v>0</v>
      </c>
      <c r="K63" s="375">
        <f t="shared" si="15"/>
        <v>0</v>
      </c>
      <c r="L63" s="375">
        <f t="shared" si="15"/>
        <v>0</v>
      </c>
      <c r="M63" s="375">
        <f t="shared" si="15"/>
        <v>0</v>
      </c>
      <c r="N63" s="375">
        <f t="shared" si="15"/>
        <v>0</v>
      </c>
      <c r="O63" s="22">
        <f>SUM(E63:N63)</f>
        <v>0</v>
      </c>
    </row>
  </sheetData>
  <sheetProtection password="FF04" sheet="1" objects="1" scenarios="1"/>
  <dataConsolidate/>
  <conditionalFormatting sqref="D1">
    <cfRule type="expression" dxfId="43" priority="441" stopIfTrue="1">
      <formula>#REF!="NEI"</formula>
    </cfRule>
  </conditionalFormatting>
  <conditionalFormatting sqref="A4 C4:C63 A7:A8 A12 A16 A20 A24 A28 A32 A36 A40">
    <cfRule type="expression" dxfId="42" priority="440" stopIfTrue="1">
      <formula>#REF!="NEI"</formula>
    </cfRule>
  </conditionalFormatting>
  <conditionalFormatting sqref="D7:D63 A3:C3 D4:F4 O3:O63 A2 C2 B4:B63 E5:N6">
    <cfRule type="expression" dxfId="41" priority="438" stopIfTrue="1">
      <formula>#REF!="NEI"</formula>
    </cfRule>
  </conditionalFormatting>
  <conditionalFormatting sqref="D2 H4:N4">
    <cfRule type="expression" dxfId="40" priority="432" stopIfTrue="1">
      <formula>#REF!="NEI"</formula>
    </cfRule>
  </conditionalFormatting>
  <conditionalFormatting sqref="E2">
    <cfRule type="expression" dxfId="39" priority="431" stopIfTrue="1">
      <formula>#REF!="NEI"</formula>
    </cfRule>
  </conditionalFormatting>
  <conditionalFormatting sqref="E4:E6 F5:N6">
    <cfRule type="expression" dxfId="38" priority="372" stopIfTrue="1">
      <formula>#REF!="NEI"</formula>
    </cfRule>
  </conditionalFormatting>
  <conditionalFormatting sqref="D3">
    <cfRule type="expression" dxfId="37" priority="335" stopIfTrue="1">
      <formula>#REF!="NEI"</formula>
    </cfRule>
  </conditionalFormatting>
  <conditionalFormatting sqref="E3:N3">
    <cfRule type="expression" dxfId="36" priority="307" stopIfTrue="1">
      <formula>#REF!="NEI"</formula>
    </cfRule>
  </conditionalFormatting>
  <conditionalFormatting sqref="D6">
    <cfRule type="expression" dxfId="35" priority="122" stopIfTrue="1">
      <formula>#REF!="NEI"</formula>
    </cfRule>
  </conditionalFormatting>
  <conditionalFormatting sqref="E8:F8">
    <cfRule type="expression" dxfId="34" priority="89" stopIfTrue="1">
      <formula>#REF!="NEI"</formula>
    </cfRule>
  </conditionalFormatting>
  <conditionalFormatting sqref="J8:N8">
    <cfRule type="expression" dxfId="33" priority="88" stopIfTrue="1">
      <formula>#REF!="NEI"</formula>
    </cfRule>
  </conditionalFormatting>
  <conditionalFormatting sqref="A5">
    <cfRule type="expression" dxfId="32" priority="125" stopIfTrue="1">
      <formula>#REF!="NEI"</formula>
    </cfRule>
  </conditionalFormatting>
  <conditionalFormatting sqref="A6">
    <cfRule type="expression" dxfId="31" priority="124" stopIfTrue="1">
      <formula>#REF!="NEI"</formula>
    </cfRule>
  </conditionalFormatting>
  <conditionalFormatting sqref="D5">
    <cfRule type="expression" dxfId="30" priority="123" stopIfTrue="1">
      <formula>#REF!="NEI"</formula>
    </cfRule>
  </conditionalFormatting>
  <conditionalFormatting sqref="E9:E63 F13:N14 F17:N18 F21:N22 F25:N26 F29:N30 F33:N34 F37:N38 F41:N42 F45:N46 F49:N50 F53:N54 F57:N58 F61:N62 F9:N10">
    <cfRule type="expression" dxfId="29" priority="38" stopIfTrue="1">
      <formula>#REF!="NEI"</formula>
    </cfRule>
  </conditionalFormatting>
  <conditionalFormatting sqref="A42 A38 A30 A26 A22 A18 A14 A10">
    <cfRule type="expression" dxfId="28" priority="11" stopIfTrue="1">
      <formula>#REF!="NEI"</formula>
    </cfRule>
  </conditionalFormatting>
  <conditionalFormatting sqref="E8">
    <cfRule type="expression" dxfId="27" priority="87" stopIfTrue="1">
      <formula>#REF!="NEI"</formula>
    </cfRule>
  </conditionalFormatting>
  <conditionalFormatting sqref="J11:N12 J15:N16 J19:N20 J23:N24 J27:N28 J31:N32 J35:N36 J39:N40 J43:N44 J47:N48 J51:N52 J55:N56 J59:N60 J63:N63">
    <cfRule type="expression" dxfId="26" priority="39" stopIfTrue="1">
      <formula>#REF!="NEI"</formula>
    </cfRule>
  </conditionalFormatting>
  <conditionalFormatting sqref="E11:F12 E15:F16 E13:N14 E19:F20 E17:N18 E23:F24 E21:N22 E27:F28 E25:N26 E31:F32 E29:N30 E35:F36 E33:N34 E39:F40 E37:N38 E43:F44 E41:N42 E47:F48 E45:N46 E51:F52 E49:N50 E55:F56 E53:N54 E59:F60 E57:N58 E63:F63 E61:N62 E9:N10">
    <cfRule type="expression" dxfId="25" priority="40" stopIfTrue="1">
      <formula>#REF!="NEI"</formula>
    </cfRule>
  </conditionalFormatting>
  <conditionalFormatting sqref="A34">
    <cfRule type="expression" dxfId="24" priority="8" stopIfTrue="1">
      <formula>#REF!="NEI"</formula>
    </cfRule>
  </conditionalFormatting>
  <conditionalFormatting sqref="A33">
    <cfRule type="expression" dxfId="23" priority="9" stopIfTrue="1">
      <formula>#REF!="NEI"</formula>
    </cfRule>
  </conditionalFormatting>
  <conditionalFormatting sqref="A35">
    <cfRule type="expression" dxfId="22" priority="10" stopIfTrue="1">
      <formula>#REF!="NEI"</formula>
    </cfRule>
  </conditionalFormatting>
  <conditionalFormatting sqref="A43 A39 A31 A27 A23 A19 A15 A11">
    <cfRule type="expression" dxfId="21" priority="13" stopIfTrue="1">
      <formula>#REF!="NEI"</formula>
    </cfRule>
  </conditionalFormatting>
  <conditionalFormatting sqref="A41 A37 A25 A21 A17 A13 A9 A29">
    <cfRule type="expression" dxfId="20" priority="12" stopIfTrue="1">
      <formula>#REF!="NEI"</formula>
    </cfRule>
  </conditionalFormatting>
  <conditionalFormatting sqref="A44 A47:A48 A52 A56 A60">
    <cfRule type="expression" dxfId="19" priority="7" stopIfTrue="1">
      <formula>#REF!="NEI"</formula>
    </cfRule>
  </conditionalFormatting>
  <conditionalFormatting sqref="A45">
    <cfRule type="expression" dxfId="18" priority="6" stopIfTrue="1">
      <formula>#REF!="NEI"</formula>
    </cfRule>
  </conditionalFormatting>
  <conditionalFormatting sqref="A46">
    <cfRule type="expression" dxfId="17" priority="5" stopIfTrue="1">
      <formula>#REF!="NEI"</formula>
    </cfRule>
  </conditionalFormatting>
  <conditionalFormatting sqref="A62 A58 A54 A50">
    <cfRule type="expression" dxfId="16" priority="2" stopIfTrue="1">
      <formula>#REF!="NEI"</formula>
    </cfRule>
  </conditionalFormatting>
  <conditionalFormatting sqref="A63 A59 A55 A51">
    <cfRule type="expression" dxfId="15" priority="4" stopIfTrue="1">
      <formula>#REF!="NEI"</formula>
    </cfRule>
  </conditionalFormatting>
  <conditionalFormatting sqref="A61 A57 A53 A49">
    <cfRule type="expression" dxfId="14" priority="3" stopIfTrue="1">
      <formula>#REF!="NEI"</formula>
    </cfRule>
  </conditionalFormatting>
  <conditionalFormatting sqref="B2">
    <cfRule type="expression" dxfId="13" priority="1" stopIfTrue="1">
      <formula>#REF!="NEI"</formula>
    </cfRule>
  </conditionalFormatting>
  <pageMargins left="0.59055118110236227" right="0.35433070866141736" top="0.53" bottom="0.47" header="0.31" footer="0.26"/>
  <pageSetup paperSize="9" scale="42" orientation="landscape" r:id="rId1"/>
  <headerFooter alignWithMargins="0"/>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0000000}">
          <x14:formula1>
            <xm:f>Tabeller!$G$42:$G$47</xm:f>
          </x14:formula1>
          <xm:sqref>B4:B6 B8:B10 B12:B14 B16:B18 B20:B22 B24:B26 B28:B30 B32:B34 B36:B38 B40:B42 B44:B46 B48:B50 B52:B54 B56:B58 B60:B62</xm:sqref>
        </x14:dataValidation>
        <x14:dataValidation type="list" allowBlank="1" showInputMessage="1" showErrorMessage="1" xr:uid="{00000000-0002-0000-0400-000001000000}">
          <x14:formula1>
            <xm:f>Tabeller!$H$42:$H$43</xm:f>
          </x14:formula1>
          <xm:sqref>B63 B11 B15 B31 B23 B39 B19 B27 B35 B43 B47 B55 B51 B59 B7</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rgb="FFFFFF00"/>
    <pageSetUpPr fitToPage="1"/>
  </sheetPr>
  <dimension ref="B1:O36"/>
  <sheetViews>
    <sheetView showGridLines="0" topLeftCell="A4" zoomScale="85" zoomScaleNormal="85" workbookViewId="0">
      <selection activeCell="G10" sqref="C10:G11"/>
    </sheetView>
  </sheetViews>
  <sheetFormatPr defaultColWidth="9.140625" defaultRowHeight="15" x14ac:dyDescent="0.25"/>
  <cols>
    <col min="1" max="1" width="0.85546875" style="42" customWidth="1"/>
    <col min="2" max="2" width="30.85546875" style="42" customWidth="1"/>
    <col min="3" max="5" width="13.140625" style="42" customWidth="1"/>
    <col min="6" max="6" width="18.5703125" style="42" customWidth="1"/>
    <col min="7" max="12" width="13.140625" style="42" customWidth="1"/>
    <col min="13" max="13" width="14" style="42" bestFit="1" customWidth="1"/>
    <col min="14" max="14" width="9.140625" style="42"/>
    <col min="15" max="15" width="9.5703125" style="42" bestFit="1" customWidth="1"/>
    <col min="16" max="16" width="10.42578125" style="42" bestFit="1" customWidth="1"/>
    <col min="17" max="17" width="9.140625" style="42"/>
    <col min="18" max="18" width="10.42578125" style="42" bestFit="1" customWidth="1"/>
    <col min="19" max="16384" width="9.140625" style="42"/>
  </cols>
  <sheetData>
    <row r="1" spans="2:12" ht="15.75" x14ac:dyDescent="0.25">
      <c r="B1" s="160" t="s">
        <v>148</v>
      </c>
      <c r="C1" s="335"/>
      <c r="D1" s="335"/>
      <c r="E1" s="335"/>
      <c r="F1" s="335"/>
      <c r="G1" s="335"/>
      <c r="H1" s="335"/>
      <c r="I1" s="335"/>
      <c r="J1" s="335"/>
      <c r="K1" s="335"/>
      <c r="L1" s="335"/>
    </row>
    <row r="3" spans="2:12" s="69" customFormat="1" x14ac:dyDescent="0.25">
      <c r="B3" s="81" t="s">
        <v>50</v>
      </c>
      <c r="C3" s="82" t="str">
        <f>IF(Registrering!$C$4="","",Registrering!$C$4)</f>
        <v/>
      </c>
      <c r="D3" s="357"/>
      <c r="E3" s="335"/>
      <c r="F3" s="74"/>
      <c r="G3" s="83" t="s">
        <v>149</v>
      </c>
      <c r="H3" s="73" t="str">
        <f>IF(Registrering!$C$18="","na",Registrering!$C$18)</f>
        <v>na</v>
      </c>
      <c r="I3" s="335"/>
      <c r="J3" s="335" t="s">
        <v>150</v>
      </c>
      <c r="K3" s="335"/>
      <c r="L3" s="335"/>
    </row>
    <row r="4" spans="2:12" s="69" customFormat="1" x14ac:dyDescent="0.25">
      <c r="B4" s="80" t="s">
        <v>151</v>
      </c>
      <c r="C4" s="71" t="str">
        <f>IF(Registrering!C8="","na",Registrering!C8)</f>
        <v>na</v>
      </c>
      <c r="D4" s="357"/>
      <c r="E4" s="335"/>
      <c r="F4" s="74"/>
      <c r="G4" s="83" t="s">
        <v>152</v>
      </c>
      <c r="H4" s="73" t="str">
        <f>IF(Registrering!$C$19="","na",Registrering!$C$19)</f>
        <v>na</v>
      </c>
      <c r="I4" s="335"/>
      <c r="J4" s="376" t="str">
        <f>IF(Registrering!C16="","",Registrering!C16)</f>
        <v/>
      </c>
      <c r="K4" s="335"/>
      <c r="L4" s="335"/>
    </row>
    <row r="5" spans="2:12" s="69" customFormat="1" x14ac:dyDescent="0.25">
      <c r="B5" s="80" t="s">
        <v>153</v>
      </c>
      <c r="C5" s="72" t="str">
        <f>IF(Registrering!$C$9="","na",Registrering!$C$9)</f>
        <v>na</v>
      </c>
      <c r="D5" s="357"/>
      <c r="E5" s="370"/>
      <c r="F5" s="377"/>
      <c r="G5" s="378" t="s">
        <v>154</v>
      </c>
      <c r="H5" s="379" t="str">
        <f>Registrering!C27</f>
        <v>Prosjekter som foregår i UiOs lokaler</v>
      </c>
      <c r="I5" s="335"/>
      <c r="J5" s="335"/>
      <c r="K5" s="335"/>
      <c r="L5" s="335"/>
    </row>
    <row r="6" spans="2:12" s="69" customFormat="1" x14ac:dyDescent="0.25">
      <c r="B6" s="80" t="s">
        <v>155</v>
      </c>
      <c r="C6" s="357">
        <f>Registrering!C24</f>
        <v>0</v>
      </c>
      <c r="D6" s="357"/>
      <c r="E6" s="370"/>
      <c r="F6" s="380" t="s">
        <v>156</v>
      </c>
      <c r="G6" s="335"/>
      <c r="H6" s="379" t="str">
        <f>Registrering!C26</f>
        <v>Fast beløp</v>
      </c>
      <c r="I6" s="379" t="str">
        <f>Registrering!C25</f>
        <v>Kostnadsspesifikk</v>
      </c>
      <c r="J6" s="335"/>
      <c r="K6" s="335"/>
      <c r="L6" s="335"/>
    </row>
    <row r="7" spans="2:12" s="69" customFormat="1" x14ac:dyDescent="0.25">
      <c r="B7" s="335"/>
      <c r="C7" s="335"/>
      <c r="D7" s="335"/>
      <c r="E7" s="335"/>
      <c r="F7" s="335"/>
      <c r="G7" s="335"/>
      <c r="H7" s="335"/>
      <c r="I7" s="377"/>
      <c r="J7" s="335"/>
      <c r="K7" s="335"/>
      <c r="L7" s="335"/>
    </row>
    <row r="8" spans="2:12" x14ac:dyDescent="0.25">
      <c r="B8" s="370"/>
      <c r="C8" s="63"/>
      <c r="D8" s="335"/>
      <c r="E8" s="370"/>
      <c r="F8" s="335"/>
      <c r="G8" s="335"/>
      <c r="H8" s="335"/>
      <c r="I8" s="335"/>
      <c r="J8" s="335"/>
      <c r="K8" s="370"/>
      <c r="L8" s="335"/>
    </row>
    <row r="9" spans="2:12" ht="30" x14ac:dyDescent="0.25">
      <c r="B9" s="79" t="s">
        <v>157</v>
      </c>
      <c r="C9" s="29" t="str">
        <f>Budsjett!F3</f>
        <v>Periode 1 (1-18 month)</v>
      </c>
      <c r="D9" s="29" t="str">
        <f>Budsjett!G3</f>
        <v>Periode 2 (19-36 month)</v>
      </c>
      <c r="E9" s="29" t="str">
        <f>Budsjett!H3</f>
        <v>Periode 3 (37-54 month)</v>
      </c>
      <c r="F9" s="29" t="str">
        <f>Budsjett!I3</f>
        <v>Periode 4 (55-60 (72) month)</v>
      </c>
      <c r="G9" s="29" t="s">
        <v>158</v>
      </c>
      <c r="H9" s="335"/>
      <c r="I9" s="335"/>
      <c r="J9" s="335"/>
      <c r="K9" s="335"/>
      <c r="L9" s="335"/>
    </row>
    <row r="10" spans="2:12" x14ac:dyDescent="0.25">
      <c r="B10" s="381" t="s">
        <v>107</v>
      </c>
      <c r="C10" s="35">
        <f>Budsjett!F49</f>
        <v>0</v>
      </c>
      <c r="D10" s="35">
        <f>Budsjett!G49</f>
        <v>0</v>
      </c>
      <c r="E10" s="35">
        <f>Budsjett!H49</f>
        <v>0</v>
      </c>
      <c r="F10" s="35">
        <f>Budsjett!I49</f>
        <v>0</v>
      </c>
      <c r="G10" s="34">
        <f t="shared" ref="G10:G23" si="0">SUM(C10:F10)</f>
        <v>0</v>
      </c>
      <c r="H10" s="335"/>
      <c r="I10" s="335"/>
      <c r="J10" s="335"/>
      <c r="K10" s="335"/>
      <c r="L10" s="335"/>
    </row>
    <row r="11" spans="2:12" x14ac:dyDescent="0.25">
      <c r="B11" s="381" t="s">
        <v>159</v>
      </c>
      <c r="C11" s="35">
        <f>Budsjett!F45</f>
        <v>0</v>
      </c>
      <c r="D11" s="35">
        <f>Budsjett!G45</f>
        <v>0</v>
      </c>
      <c r="E11" s="35">
        <f>Budsjett!H45</f>
        <v>0</v>
      </c>
      <c r="F11" s="35">
        <f>Budsjett!I45</f>
        <v>0</v>
      </c>
      <c r="G11" s="34">
        <f t="shared" si="0"/>
        <v>0</v>
      </c>
      <c r="H11" s="335"/>
      <c r="I11" s="335"/>
      <c r="J11" s="335"/>
      <c r="K11" s="335"/>
      <c r="L11" s="335"/>
    </row>
    <row r="12" spans="2:12" x14ac:dyDescent="0.25">
      <c r="B12" s="381" t="s">
        <v>56</v>
      </c>
      <c r="C12" s="35">
        <f>Budsjett!F50</f>
        <v>0</v>
      </c>
      <c r="D12" s="35">
        <f>Budsjett!G50</f>
        <v>0</v>
      </c>
      <c r="E12" s="35">
        <f>Budsjett!H50</f>
        <v>0</v>
      </c>
      <c r="F12" s="35">
        <f>Budsjett!I50</f>
        <v>0</v>
      </c>
      <c r="G12" s="34">
        <f t="shared" si="0"/>
        <v>0</v>
      </c>
      <c r="H12" s="335"/>
      <c r="I12" s="335"/>
      <c r="J12" s="335"/>
      <c r="K12" s="335"/>
      <c r="L12" s="335"/>
    </row>
    <row r="13" spans="2:12" x14ac:dyDescent="0.25">
      <c r="B13" s="31" t="s">
        <v>160</v>
      </c>
      <c r="C13" s="32">
        <f>SUM(C10:C12)</f>
        <v>0</v>
      </c>
      <c r="D13" s="32">
        <f>SUM(D10:D12)</f>
        <v>0</v>
      </c>
      <c r="E13" s="32">
        <f>SUM(E10:E12)</f>
        <v>0</v>
      </c>
      <c r="F13" s="32">
        <f>SUM(F10:F12)</f>
        <v>0</v>
      </c>
      <c r="G13" s="32">
        <f t="shared" si="0"/>
        <v>0</v>
      </c>
      <c r="H13" s="335"/>
      <c r="I13" s="335"/>
      <c r="J13" s="335"/>
      <c r="K13" s="335"/>
      <c r="L13" s="335"/>
    </row>
    <row r="14" spans="2:12" x14ac:dyDescent="0.25">
      <c r="B14" s="381" t="s">
        <v>161</v>
      </c>
      <c r="C14" s="35">
        <f>Budsjett!AL12+Budsjett!AL34</f>
        <v>0</v>
      </c>
      <c r="D14" s="35">
        <f>Budsjett!AM12+Budsjett!AM34</f>
        <v>0</v>
      </c>
      <c r="E14" s="35">
        <f>Budsjett!AN12+Budsjett!AN34</f>
        <v>0</v>
      </c>
      <c r="F14" s="35">
        <f>Budsjett!AO12+Budsjett!AO34</f>
        <v>0</v>
      </c>
      <c r="G14" s="34">
        <f t="shared" si="0"/>
        <v>0</v>
      </c>
      <c r="H14" s="335"/>
      <c r="I14" s="335"/>
      <c r="J14" s="335"/>
      <c r="K14" s="335"/>
      <c r="L14" s="335"/>
    </row>
    <row r="15" spans="2:12" x14ac:dyDescent="0.25">
      <c r="B15" s="381" t="s">
        <v>162</v>
      </c>
      <c r="C15" s="35">
        <f>Budsjett!AL20</f>
        <v>0</v>
      </c>
      <c r="D15" s="35">
        <f>Budsjett!AM20</f>
        <v>0</v>
      </c>
      <c r="E15" s="35">
        <f>Budsjett!AN20</f>
        <v>0</v>
      </c>
      <c r="F15" s="35">
        <f>Budsjett!AO20</f>
        <v>0</v>
      </c>
      <c r="G15" s="34">
        <f t="shared" si="0"/>
        <v>0</v>
      </c>
      <c r="H15" s="335"/>
      <c r="I15" s="335"/>
      <c r="J15" s="335"/>
      <c r="K15" s="335"/>
      <c r="L15" s="335"/>
    </row>
    <row r="16" spans="2:12" x14ac:dyDescent="0.25">
      <c r="B16" s="381" t="s">
        <v>163</v>
      </c>
      <c r="C16" s="35">
        <f>Budsjett!AL28</f>
        <v>0</v>
      </c>
      <c r="D16" s="35">
        <f>Budsjett!AM28</f>
        <v>0</v>
      </c>
      <c r="E16" s="35">
        <f>Budsjett!AN28</f>
        <v>0</v>
      </c>
      <c r="F16" s="35">
        <f>Budsjett!AO28</f>
        <v>0</v>
      </c>
      <c r="G16" s="34">
        <f t="shared" si="0"/>
        <v>0</v>
      </c>
      <c r="H16" s="335"/>
      <c r="I16" s="335"/>
      <c r="J16" s="382"/>
      <c r="K16" s="335"/>
      <c r="L16" s="382"/>
    </row>
    <row r="17" spans="2:15" x14ac:dyDescent="0.25">
      <c r="B17" s="381" t="s">
        <v>164</v>
      </c>
      <c r="C17" s="35">
        <f>Budsjett!AW35</f>
        <v>0</v>
      </c>
      <c r="D17" s="35">
        <f>Budsjett!AX35</f>
        <v>0</v>
      </c>
      <c r="E17" s="35">
        <f>Budsjett!AY35</f>
        <v>0</v>
      </c>
      <c r="F17" s="35">
        <f>Budsjett!AZ35</f>
        <v>0</v>
      </c>
      <c r="G17" s="34">
        <f t="shared" si="0"/>
        <v>0</v>
      </c>
      <c r="H17" s="335"/>
      <c r="I17" s="335"/>
      <c r="J17" s="335"/>
      <c r="K17" s="335"/>
      <c r="L17" s="335"/>
      <c r="M17" s="335"/>
      <c r="N17" s="335"/>
      <c r="O17" s="335"/>
    </row>
    <row r="18" spans="2:15" x14ac:dyDescent="0.25">
      <c r="B18" s="381" t="s">
        <v>165</v>
      </c>
      <c r="C18" s="35">
        <f>Budsjett!BC35</f>
        <v>0</v>
      </c>
      <c r="D18" s="35">
        <f>Budsjett!BD35</f>
        <v>0</v>
      </c>
      <c r="E18" s="35">
        <f>Budsjett!BE35</f>
        <v>0</v>
      </c>
      <c r="F18" s="35">
        <f>Budsjett!BF35</f>
        <v>0</v>
      </c>
      <c r="G18" s="34">
        <f t="shared" si="0"/>
        <v>0</v>
      </c>
      <c r="H18" s="335"/>
      <c r="I18" s="335"/>
      <c r="J18" s="335"/>
      <c r="K18" s="335"/>
      <c r="L18" s="335"/>
      <c r="M18" s="335"/>
      <c r="N18" s="335"/>
      <c r="O18" s="335"/>
    </row>
    <row r="19" spans="2:15" x14ac:dyDescent="0.25">
      <c r="B19" s="381" t="s">
        <v>166</v>
      </c>
      <c r="C19" s="35">
        <f>Budsjett!F46</f>
        <v>0</v>
      </c>
      <c r="D19" s="35">
        <f>Budsjett!G46</f>
        <v>0</v>
      </c>
      <c r="E19" s="35">
        <f>Budsjett!H46</f>
        <v>0</v>
      </c>
      <c r="F19" s="35">
        <f>Budsjett!I46</f>
        <v>0</v>
      </c>
      <c r="G19" s="34">
        <f t="shared" si="0"/>
        <v>0</v>
      </c>
      <c r="H19" s="335"/>
      <c r="I19" s="335"/>
      <c r="J19" s="335"/>
      <c r="K19" s="335"/>
      <c r="L19" s="335"/>
      <c r="M19" s="335"/>
      <c r="N19" s="335"/>
      <c r="O19" s="335"/>
    </row>
    <row r="20" spans="2:15" x14ac:dyDescent="0.25">
      <c r="B20" s="381" t="s">
        <v>167</v>
      </c>
      <c r="C20" s="35">
        <f>Budsjett!F42</f>
        <v>0</v>
      </c>
      <c r="D20" s="35">
        <f>Budsjett!G42</f>
        <v>0</v>
      </c>
      <c r="E20" s="35">
        <f>Budsjett!H42</f>
        <v>0</v>
      </c>
      <c r="F20" s="35">
        <f>Budsjett!I42</f>
        <v>0</v>
      </c>
      <c r="G20" s="34">
        <f t="shared" si="0"/>
        <v>0</v>
      </c>
      <c r="H20" s="335"/>
      <c r="I20" s="335"/>
      <c r="J20" s="335"/>
      <c r="K20" s="335"/>
      <c r="L20" s="335"/>
      <c r="M20" s="335"/>
      <c r="N20" s="335"/>
      <c r="O20" s="335"/>
    </row>
    <row r="21" spans="2:15" x14ac:dyDescent="0.25">
      <c r="B21" s="381" t="s">
        <v>168</v>
      </c>
      <c r="C21" s="35">
        <f>Budsjett!F41</f>
        <v>0</v>
      </c>
      <c r="D21" s="35">
        <f>Budsjett!G41</f>
        <v>0</v>
      </c>
      <c r="E21" s="35">
        <f>Budsjett!H41</f>
        <v>0</v>
      </c>
      <c r="F21" s="35">
        <f>Budsjett!I41</f>
        <v>0</v>
      </c>
      <c r="G21" s="34">
        <f t="shared" si="0"/>
        <v>0</v>
      </c>
      <c r="H21" s="335"/>
      <c r="I21" s="335"/>
      <c r="J21" s="335"/>
      <c r="K21" s="335"/>
      <c r="L21" s="335"/>
      <c r="M21" s="335"/>
      <c r="N21" s="335"/>
      <c r="O21" s="335"/>
    </row>
    <row r="22" spans="2:15" x14ac:dyDescent="0.25">
      <c r="B22" s="381" t="s">
        <v>169</v>
      </c>
      <c r="C22" s="35">
        <f>Budsjett!F38+Budsjett!F39+Budsjett!F40+Budsjett!F44+Budsjett!F43</f>
        <v>0</v>
      </c>
      <c r="D22" s="35">
        <f>Budsjett!G38+Budsjett!G39+Budsjett!G40+Budsjett!G44+Budsjett!G43</f>
        <v>0</v>
      </c>
      <c r="E22" s="35">
        <f>Budsjett!H38+Budsjett!H39+Budsjett!H40+Budsjett!H44+Budsjett!H43</f>
        <v>0</v>
      </c>
      <c r="F22" s="35">
        <f>Budsjett!I38+Budsjett!I39+Budsjett!I40+Budsjett!I44+Budsjett!I43</f>
        <v>0</v>
      </c>
      <c r="G22" s="34">
        <f t="shared" si="0"/>
        <v>0</v>
      </c>
      <c r="H22" s="335"/>
      <c r="I22" s="335"/>
      <c r="J22" s="335"/>
      <c r="K22" s="335"/>
      <c r="L22" s="335"/>
      <c r="M22" s="335"/>
      <c r="N22" s="335"/>
      <c r="O22" s="335"/>
    </row>
    <row r="23" spans="2:15" x14ac:dyDescent="0.25">
      <c r="B23" s="31" t="s">
        <v>83</v>
      </c>
      <c r="C23" s="32">
        <f>SUM(C14:C22)</f>
        <v>0</v>
      </c>
      <c r="D23" s="32">
        <f>SUM(D14:D22)</f>
        <v>0</v>
      </c>
      <c r="E23" s="32">
        <f>SUM(E14:E22)</f>
        <v>0</v>
      </c>
      <c r="F23" s="32">
        <f>SUM(F14:F22)</f>
        <v>0</v>
      </c>
      <c r="G23" s="32">
        <f t="shared" si="0"/>
        <v>0</v>
      </c>
      <c r="H23" s="335"/>
      <c r="I23" s="335"/>
      <c r="J23" s="335"/>
      <c r="K23" s="335"/>
      <c r="L23" s="335"/>
      <c r="M23" s="335"/>
      <c r="N23" s="335"/>
      <c r="O23" s="335"/>
    </row>
    <row r="24" spans="2:15" x14ac:dyDescent="0.25">
      <c r="B24" s="31" t="s">
        <v>170</v>
      </c>
      <c r="C24" s="32">
        <f>C23+C13</f>
        <v>0</v>
      </c>
      <c r="D24" s="32">
        <f>D23+D13</f>
        <v>0</v>
      </c>
      <c r="E24" s="32">
        <f>E23+E13</f>
        <v>0</v>
      </c>
      <c r="F24" s="32">
        <f>F23+F13</f>
        <v>0</v>
      </c>
      <c r="G24" s="32">
        <f>G23+G13</f>
        <v>0</v>
      </c>
      <c r="H24" s="335"/>
      <c r="I24" s="335"/>
      <c r="J24" s="335"/>
      <c r="K24" s="335"/>
      <c r="L24" s="335"/>
      <c r="M24" s="335"/>
      <c r="N24" s="335"/>
      <c r="O24" s="335"/>
    </row>
    <row r="26" spans="2:15" x14ac:dyDescent="0.25">
      <c r="B26" s="30" t="s">
        <v>171</v>
      </c>
      <c r="C26" s="33">
        <f>C15+C17+C12+C16+C18+C21+C20</f>
        <v>0</v>
      </c>
      <c r="D26" s="33">
        <f>D15+D17+D12+D16+D18+D21+D20</f>
        <v>0</v>
      </c>
      <c r="E26" s="33">
        <f>E15+E17+E12+E16+E18+E21+E20</f>
        <v>0</v>
      </c>
      <c r="F26" s="33">
        <f>F15+F17+F12+F16+F18+F21+F20</f>
        <v>0</v>
      </c>
      <c r="G26" s="199">
        <f>G15+G17+G12+G16+G18+G21+G20</f>
        <v>0</v>
      </c>
      <c r="H26" s="383">
        <f>Registrering!C23</f>
        <v>11.04</v>
      </c>
      <c r="I26" s="20" t="str">
        <f>Registrering!B23</f>
        <v>Valutakurs (må forankres hos instituttleder)</v>
      </c>
      <c r="J26" s="20"/>
      <c r="K26" s="20"/>
      <c r="L26" s="20"/>
      <c r="M26" s="20"/>
      <c r="N26" s="20"/>
      <c r="O26" s="335"/>
    </row>
    <row r="27" spans="2:15" x14ac:dyDescent="0.25">
      <c r="B27" s="20"/>
      <c r="C27" s="20"/>
      <c r="D27" s="335" t="str">
        <f>Budsjett!A58</f>
        <v xml:space="preserve">Mer inntekt/kostnad for instituttet </v>
      </c>
      <c r="E27" s="335"/>
      <c r="F27" s="335"/>
      <c r="G27" s="335">
        <f>Budsjett!G58</f>
        <v>0</v>
      </c>
      <c r="H27" s="335"/>
      <c r="I27" s="335"/>
      <c r="J27" s="335"/>
      <c r="K27" s="335"/>
      <c r="L27" s="335"/>
      <c r="M27" s="335"/>
      <c r="N27" s="335"/>
      <c r="O27" s="335"/>
    </row>
    <row r="28" spans="2:15" x14ac:dyDescent="0.25">
      <c r="B28" s="20"/>
      <c r="C28" s="20"/>
      <c r="D28" s="335" t="str">
        <f>Budsjett!A59</f>
        <v>Prosjektets reelle nettobidrag</v>
      </c>
      <c r="E28" s="335"/>
      <c r="F28" s="335"/>
      <c r="G28" s="382">
        <f>G26-G27</f>
        <v>0</v>
      </c>
      <c r="H28" s="335"/>
      <c r="I28" s="335"/>
      <c r="J28" s="335"/>
      <c r="K28" s="335"/>
      <c r="L28" s="335"/>
      <c r="M28" s="335"/>
      <c r="N28" s="335"/>
      <c r="O28" s="335"/>
    </row>
    <row r="29" spans="2:15" x14ac:dyDescent="0.25">
      <c r="B29" s="20"/>
      <c r="C29" s="20"/>
      <c r="D29" s="335" t="s">
        <v>172</v>
      </c>
      <c r="E29" s="335"/>
      <c r="F29" s="335"/>
      <c r="G29" s="335" t="e">
        <f>(Budsjett!BA12+Budsjett!BA20)/(Budsjett!AU12+Budsjett!AU20)</f>
        <v>#DIV/0!</v>
      </c>
      <c r="H29" s="335"/>
      <c r="I29" s="335"/>
      <c r="J29" s="335"/>
      <c r="K29" s="335"/>
      <c r="L29" s="335"/>
      <c r="M29" s="335"/>
      <c r="N29" s="335"/>
      <c r="O29" s="335"/>
    </row>
    <row r="30" spans="2:15" x14ac:dyDescent="0.25">
      <c r="B30" s="434" t="s">
        <v>173</v>
      </c>
      <c r="C30" s="425">
        <f>Registrering!C10</f>
        <v>0</v>
      </c>
      <c r="D30" s="426"/>
      <c r="E30" s="426"/>
      <c r="F30" s="426"/>
      <c r="G30" s="426"/>
      <c r="H30" s="426"/>
      <c r="I30" s="426"/>
      <c r="J30" s="427"/>
      <c r="K30" s="384"/>
      <c r="L30" s="385" t="s">
        <v>174</v>
      </c>
      <c r="M30" s="386" t="str">
        <f>IFERROR((G17+G18)/(G14+G15+G16),"")</f>
        <v/>
      </c>
      <c r="N30" s="335"/>
      <c r="O30" s="335"/>
    </row>
    <row r="31" spans="2:15" x14ac:dyDescent="0.25">
      <c r="B31" s="435"/>
      <c r="C31" s="428"/>
      <c r="D31" s="429"/>
      <c r="E31" s="429"/>
      <c r="F31" s="429"/>
      <c r="G31" s="429"/>
      <c r="H31" s="429"/>
      <c r="I31" s="429"/>
      <c r="J31" s="430"/>
      <c r="K31" s="384"/>
      <c r="L31" s="385" t="s">
        <v>175</v>
      </c>
      <c r="M31" s="387" t="str">
        <f>IFERROR((G17/(G14+G15)),"")</f>
        <v/>
      </c>
      <c r="N31" s="335"/>
      <c r="O31" s="335"/>
    </row>
    <row r="32" spans="2:15" ht="15" customHeight="1" x14ac:dyDescent="0.25">
      <c r="B32" s="436"/>
      <c r="C32" s="431"/>
      <c r="D32" s="432"/>
      <c r="E32" s="432"/>
      <c r="F32" s="432"/>
      <c r="G32" s="432"/>
      <c r="H32" s="432"/>
      <c r="I32" s="432"/>
      <c r="J32" s="433"/>
      <c r="K32" s="384"/>
      <c r="L32" s="385" t="s">
        <v>176</v>
      </c>
      <c r="M32" s="388" t="str">
        <f>IFERROR(-G12/SUM(G23:G23),"")</f>
        <v/>
      </c>
      <c r="N32" s="335"/>
      <c r="O32" s="382"/>
    </row>
    <row r="33" spans="2:15" x14ac:dyDescent="0.25">
      <c r="B33" s="44" t="s">
        <v>177</v>
      </c>
      <c r="C33" s="335"/>
      <c r="D33" s="389"/>
      <c r="E33" s="335"/>
      <c r="F33" s="389"/>
      <c r="G33" s="389"/>
      <c r="H33" s="389"/>
      <c r="I33" s="389"/>
      <c r="J33" s="390"/>
      <c r="K33" s="370"/>
      <c r="L33" s="370"/>
      <c r="M33" s="370"/>
      <c r="N33" s="335"/>
      <c r="O33" s="382"/>
    </row>
    <row r="34" spans="2:15" ht="36" customHeight="1" x14ac:dyDescent="0.25">
      <c r="B34" s="423"/>
      <c r="C34" s="424"/>
      <c r="D34" s="391"/>
      <c r="E34" s="437"/>
      <c r="F34" s="438"/>
      <c r="G34" s="438"/>
      <c r="H34" s="438"/>
      <c r="I34" s="439"/>
      <c r="J34" s="391"/>
      <c r="K34" s="370"/>
      <c r="L34" s="370"/>
      <c r="M34" s="370"/>
      <c r="N34" s="335"/>
      <c r="O34" s="335"/>
    </row>
    <row r="35" spans="2:15" x14ac:dyDescent="0.25">
      <c r="B35" s="392" t="s">
        <v>178</v>
      </c>
      <c r="C35" s="393"/>
      <c r="D35" s="391" t="s">
        <v>179</v>
      </c>
      <c r="E35" s="394" t="s">
        <v>180</v>
      </c>
      <c r="F35" s="395"/>
      <c r="G35" s="396"/>
      <c r="H35" s="396"/>
      <c r="I35" s="397"/>
      <c r="J35" s="391" t="s">
        <v>179</v>
      </c>
      <c r="K35" s="370"/>
      <c r="L35" s="370"/>
      <c r="M35" s="370"/>
      <c r="N35" s="335"/>
      <c r="O35" s="335"/>
    </row>
    <row r="36" spans="2:15" x14ac:dyDescent="0.25">
      <c r="B36" s="392">
        <f>Registrering!C7</f>
        <v>0</v>
      </c>
      <c r="C36" s="393"/>
      <c r="D36" s="335"/>
      <c r="E36" s="398">
        <f>Registrering!C5</f>
        <v>0</v>
      </c>
      <c r="F36" s="390"/>
      <c r="G36" s="390"/>
      <c r="H36" s="390"/>
      <c r="I36" s="399"/>
      <c r="J36" s="391"/>
      <c r="K36" s="335"/>
      <c r="L36" s="335"/>
      <c r="M36" s="335"/>
      <c r="N36" s="335"/>
      <c r="O36" s="335"/>
    </row>
  </sheetData>
  <sheetProtection algorithmName="SHA-512" hashValue="vt/R6sOgikJn7xOGRFEXhoUe7fmujIs7ZtdptZ9KfGkrgqD5sCYuNQuOJsBbJ/QeR4W7/3AH754u8OwsmVFa0Q==" saltValue="2/cChSj96a37u0tCwDxK8A==" spinCount="100000" sheet="1" formatColumns="0"/>
  <mergeCells count="4">
    <mergeCell ref="B34:C34"/>
    <mergeCell ref="C30:J32"/>
    <mergeCell ref="B30:B32"/>
    <mergeCell ref="E34:I34"/>
  </mergeCells>
  <conditionalFormatting sqref="J4">
    <cfRule type="expression" dxfId="12" priority="1" stopIfTrue="1">
      <formula>#REF!="NEI"</formula>
    </cfRule>
  </conditionalFormatting>
  <pageMargins left="0.43" right="0.22" top="0.35" bottom="0.36" header="0.31496062992125984" footer="0.23622047244094491"/>
  <pageSetup paperSize="9" scale="77" fitToHeight="0" orientation="landscape"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FFFF00"/>
  </sheetPr>
  <dimension ref="B1:P47"/>
  <sheetViews>
    <sheetView showGridLines="0" zoomScale="70" zoomScaleNormal="70" workbookViewId="0">
      <selection activeCell="C4" sqref="C4"/>
    </sheetView>
  </sheetViews>
  <sheetFormatPr defaultColWidth="9.140625" defaultRowHeight="12.75" x14ac:dyDescent="0.2"/>
  <cols>
    <col min="1" max="1" width="1.5703125" customWidth="1"/>
    <col min="2" max="2" width="37.140625" customWidth="1"/>
    <col min="3" max="12" width="10.85546875" customWidth="1"/>
    <col min="13" max="13" width="17.42578125" customWidth="1"/>
    <col min="14" max="14" width="10.85546875" customWidth="1"/>
    <col min="15" max="15" width="8.42578125" bestFit="1" customWidth="1"/>
    <col min="16" max="16" width="6.42578125" customWidth="1"/>
    <col min="17" max="17" width="10.5703125" customWidth="1"/>
  </cols>
  <sheetData>
    <row r="1" spans="2:14" ht="15.75" x14ac:dyDescent="0.25">
      <c r="B1" s="90" t="s">
        <v>181</v>
      </c>
    </row>
    <row r="3" spans="2:14" ht="15" x14ac:dyDescent="0.25">
      <c r="B3" s="77" t="s">
        <v>182</v>
      </c>
    </row>
    <row r="4" spans="2:14" x14ac:dyDescent="0.2">
      <c r="B4" s="89"/>
      <c r="C4" s="89" t="str">
        <f>Budsjett!F3</f>
        <v>Periode 1 (1-18 month)</v>
      </c>
      <c r="D4" s="89" t="str">
        <f>Budsjett!G3</f>
        <v>Periode 2 (19-36 month)</v>
      </c>
      <c r="E4" s="89" t="str">
        <f>Budsjett!H3</f>
        <v>Periode 3 (37-54 month)</v>
      </c>
      <c r="F4" s="89" t="str">
        <f>Budsjett!I3</f>
        <v>Periode 4 (55-60 (72) month)</v>
      </c>
      <c r="G4" s="89" t="e">
        <f>Budsjett!#REF!</f>
        <v>#REF!</v>
      </c>
      <c r="H4" s="89" t="e">
        <f>Budsjett!#REF!</f>
        <v>#REF!</v>
      </c>
      <c r="I4" s="89" t="e">
        <f>Budsjett!#REF!</f>
        <v>#REF!</v>
      </c>
      <c r="J4" s="89" t="e">
        <f>Budsjett!#REF!</f>
        <v>#REF!</v>
      </c>
      <c r="K4" s="89" t="e">
        <f>Budsjett!#REF!</f>
        <v>#REF!</v>
      </c>
      <c r="L4" s="89" t="e">
        <f>Budsjett!#REF!</f>
        <v>#REF!</v>
      </c>
      <c r="M4" s="89" t="s">
        <v>183</v>
      </c>
      <c r="N4" s="89" t="s">
        <v>45</v>
      </c>
    </row>
    <row r="5" spans="2:14" x14ac:dyDescent="0.2">
      <c r="B5" t="s">
        <v>184</v>
      </c>
      <c r="C5" s="91">
        <f>SUM('Intern oversikt'!C14+'Intern oversikt'!C15+'Intern oversikt'!C16+'Intern oversikt'!C17+'Intern oversikt'!C18)</f>
        <v>0</v>
      </c>
      <c r="D5" s="91">
        <f>SUM('Intern oversikt'!D14+'Intern oversikt'!D15+'Intern oversikt'!D16+'Intern oversikt'!D17+'Intern oversikt'!D18)</f>
        <v>0</v>
      </c>
      <c r="E5" s="91">
        <f>SUM('Intern oversikt'!E14+'Intern oversikt'!E15+'Intern oversikt'!E16+'Intern oversikt'!E17+'Intern oversikt'!E18)</f>
        <v>0</v>
      </c>
      <c r="F5" s="91">
        <f>SUM('Intern oversikt'!F14+'Intern oversikt'!F15+'Intern oversikt'!F16+'Intern oversikt'!F17+'Intern oversikt'!F18)</f>
        <v>0</v>
      </c>
      <c r="G5" s="91" t="e">
        <f>SUM('Intern oversikt'!#REF!+'Intern oversikt'!#REF!+'Intern oversikt'!#REF!+'Intern oversikt'!#REF!+'Intern oversikt'!#REF!)</f>
        <v>#REF!</v>
      </c>
      <c r="H5" s="91" t="e">
        <f>SUM('Intern oversikt'!#REF!+'Intern oversikt'!#REF!+'Intern oversikt'!#REF!+'Intern oversikt'!#REF!+'Intern oversikt'!#REF!)</f>
        <v>#REF!</v>
      </c>
      <c r="I5" s="91" t="e">
        <f>SUM('Intern oversikt'!#REF!+'Intern oversikt'!#REF!+'Intern oversikt'!#REF!+'Intern oversikt'!#REF!+'Intern oversikt'!#REF!)</f>
        <v>#REF!</v>
      </c>
      <c r="J5" s="91" t="e">
        <f>SUM('Intern oversikt'!#REF!+'Intern oversikt'!#REF!+'Intern oversikt'!#REF!+'Intern oversikt'!#REF!+'Intern oversikt'!#REF!)</f>
        <v>#REF!</v>
      </c>
      <c r="K5" s="91" t="e">
        <f>SUM('Intern oversikt'!#REF!+'Intern oversikt'!#REF!+'Intern oversikt'!#REF!+'Intern oversikt'!#REF!+'Intern oversikt'!#REF!)</f>
        <v>#REF!</v>
      </c>
      <c r="L5" s="91" t="e">
        <f>SUM('Intern oversikt'!#REF!+'Intern oversikt'!#REF!+'Intern oversikt'!#REF!+'Intern oversikt'!#REF!+'Intern oversikt'!#REF!)</f>
        <v>#REF!</v>
      </c>
      <c r="M5" s="91" t="e">
        <f>H5+I5+J5</f>
        <v>#REF!</v>
      </c>
      <c r="N5" s="91" t="e">
        <f>SUM(C5:L5)</f>
        <v>#REF!</v>
      </c>
    </row>
    <row r="6" spans="2:14" x14ac:dyDescent="0.2">
      <c r="B6" t="s">
        <v>185</v>
      </c>
      <c r="C6" s="91">
        <f>Budsjett!F44+Budsjett!F45</f>
        <v>0</v>
      </c>
      <c r="D6" s="91">
        <f>Budsjett!G44+Budsjett!G45</f>
        <v>0</v>
      </c>
      <c r="E6" s="91">
        <f>Budsjett!H44+Budsjett!H45</f>
        <v>0</v>
      </c>
      <c r="F6" s="91">
        <f>Budsjett!I44+Budsjett!I45</f>
        <v>0</v>
      </c>
      <c r="G6" s="91" t="e">
        <f>Budsjett!#REF!+Budsjett!#REF!</f>
        <v>#REF!</v>
      </c>
      <c r="H6" s="91" t="e">
        <f>Budsjett!#REF!+Budsjett!#REF!</f>
        <v>#REF!</v>
      </c>
      <c r="I6" s="91" t="e">
        <f>Budsjett!#REF!+Budsjett!#REF!</f>
        <v>#REF!</v>
      </c>
      <c r="J6" s="91" t="e">
        <f>Budsjett!#REF!+Budsjett!#REF!</f>
        <v>#REF!</v>
      </c>
      <c r="K6" s="91" t="e">
        <f>Budsjett!#REF!+Budsjett!#REF!</f>
        <v>#REF!</v>
      </c>
      <c r="L6" s="91" t="e">
        <f>Budsjett!#REF!+Budsjett!#REF!</f>
        <v>#REF!</v>
      </c>
      <c r="M6" s="91" t="e">
        <f>H6+I6+J6</f>
        <v>#REF!</v>
      </c>
      <c r="N6" s="91" t="e">
        <f>SUM(C6:L6)</f>
        <v>#REF!</v>
      </c>
    </row>
    <row r="7" spans="2:14" x14ac:dyDescent="0.2">
      <c r="B7" t="s">
        <v>186</v>
      </c>
      <c r="C7" s="91">
        <f>Budsjett!F46</f>
        <v>0</v>
      </c>
      <c r="D7" s="91">
        <f>Budsjett!G46</f>
        <v>0</v>
      </c>
      <c r="E7" s="91">
        <f>Budsjett!H46</f>
        <v>0</v>
      </c>
      <c r="F7" s="91">
        <f>Budsjett!I46</f>
        <v>0</v>
      </c>
      <c r="G7" s="91" t="e">
        <f>Budsjett!#REF!</f>
        <v>#REF!</v>
      </c>
      <c r="H7" s="91" t="e">
        <f>Budsjett!#REF!</f>
        <v>#REF!</v>
      </c>
      <c r="I7" s="91" t="e">
        <f>Budsjett!#REF!</f>
        <v>#REF!</v>
      </c>
      <c r="J7" s="91" t="e">
        <f>Budsjett!#REF!</f>
        <v>#REF!</v>
      </c>
      <c r="K7" s="91" t="e">
        <f>Budsjett!#REF!</f>
        <v>#REF!</v>
      </c>
      <c r="L7" s="91" t="e">
        <f>Budsjett!#REF!</f>
        <v>#REF!</v>
      </c>
      <c r="M7" s="91" t="e">
        <f>H7+I7+J7</f>
        <v>#REF!</v>
      </c>
      <c r="N7" s="91" t="e">
        <f>SUM(C7:L7)</f>
        <v>#REF!</v>
      </c>
    </row>
    <row r="8" spans="2:14" x14ac:dyDescent="0.2">
      <c r="B8" t="s">
        <v>187</v>
      </c>
      <c r="C8" s="91" t="e">
        <f>SUM(Budsjett!#REF!+Budsjett!F38+Budsjett!F39+Budsjett!F40+Budsjett!F41+Budsjett!F42)</f>
        <v>#REF!</v>
      </c>
      <c r="D8" s="91" t="e">
        <f>SUM(Budsjett!#REF!+Budsjett!G38+Budsjett!G39+Budsjett!G40+Budsjett!G41+Budsjett!G42)</f>
        <v>#REF!</v>
      </c>
      <c r="E8" s="91" t="e">
        <f>SUM(Budsjett!#REF!+Budsjett!H38+Budsjett!H39+Budsjett!H40+Budsjett!H41+Budsjett!H42)</f>
        <v>#REF!</v>
      </c>
      <c r="F8" s="91" t="e">
        <f>SUM(Budsjett!#REF!+Budsjett!I38+Budsjett!I39+Budsjett!I40+Budsjett!I41+Budsjett!I42)</f>
        <v>#REF!</v>
      </c>
      <c r="G8" s="91" t="e">
        <f>SUM(Budsjett!#REF!+Budsjett!#REF!+Budsjett!#REF!+Budsjett!#REF!+Budsjett!#REF!+Budsjett!#REF!)</f>
        <v>#REF!</v>
      </c>
      <c r="H8" s="91" t="e">
        <f>SUM(Budsjett!#REF!+Budsjett!#REF!+Budsjett!#REF!+Budsjett!#REF!+Budsjett!#REF!+Budsjett!#REF!)</f>
        <v>#REF!</v>
      </c>
      <c r="I8" s="91" t="e">
        <f>SUM(Budsjett!#REF!+Budsjett!#REF!+Budsjett!#REF!+Budsjett!#REF!+Budsjett!#REF!+Budsjett!#REF!)</f>
        <v>#REF!</v>
      </c>
      <c r="J8" s="91" t="e">
        <f>SUM(Budsjett!#REF!+Budsjett!#REF!+Budsjett!#REF!+Budsjett!#REF!+Budsjett!#REF!+Budsjett!#REF!)</f>
        <v>#REF!</v>
      </c>
      <c r="K8" s="91" t="e">
        <f>SUM(Budsjett!#REF!+Budsjett!#REF!+Budsjett!#REF!+Budsjett!#REF!+Budsjett!#REF!+Budsjett!#REF!)</f>
        <v>#REF!</v>
      </c>
      <c r="L8" s="91" t="e">
        <f>SUM(Budsjett!#REF!+Budsjett!#REF!+Budsjett!#REF!+Budsjett!#REF!+Budsjett!#REF!+Budsjett!#REF!)</f>
        <v>#REF!</v>
      </c>
      <c r="M8" s="91" t="e">
        <f>H8+I8+J8</f>
        <v>#REF!</v>
      </c>
      <c r="N8" s="91" t="e">
        <f>SUM(C8:L8)</f>
        <v>#REF!</v>
      </c>
    </row>
    <row r="9" spans="2:14" ht="15" x14ac:dyDescent="0.25">
      <c r="B9" s="31" t="s">
        <v>188</v>
      </c>
      <c r="C9" s="92" t="e">
        <f t="shared" ref="C9:M9" si="0">SUM(C5:C8)</f>
        <v>#REF!</v>
      </c>
      <c r="D9" s="92" t="e">
        <f t="shared" si="0"/>
        <v>#REF!</v>
      </c>
      <c r="E9" s="92" t="e">
        <f t="shared" si="0"/>
        <v>#REF!</v>
      </c>
      <c r="F9" s="92" t="e">
        <f t="shared" si="0"/>
        <v>#REF!</v>
      </c>
      <c r="G9" s="92" t="e">
        <f t="shared" si="0"/>
        <v>#REF!</v>
      </c>
      <c r="H9" s="92" t="e">
        <f t="shared" si="0"/>
        <v>#REF!</v>
      </c>
      <c r="I9" s="92" t="e">
        <f t="shared" si="0"/>
        <v>#REF!</v>
      </c>
      <c r="J9" s="92" t="e">
        <f t="shared" si="0"/>
        <v>#REF!</v>
      </c>
      <c r="K9" s="92" t="e">
        <f t="shared" si="0"/>
        <v>#REF!</v>
      </c>
      <c r="L9" s="92" t="e">
        <f t="shared" si="0"/>
        <v>#REF!</v>
      </c>
      <c r="M9" s="92" t="e">
        <f t="shared" si="0"/>
        <v>#REF!</v>
      </c>
      <c r="N9" s="92" t="e">
        <f>SUM(N5:N8)</f>
        <v>#REF!</v>
      </c>
    </row>
    <row r="10" spans="2:14" x14ac:dyDescent="0.2">
      <c r="C10" s="78"/>
      <c r="D10" s="78"/>
      <c r="E10" s="78"/>
      <c r="F10" s="78"/>
      <c r="G10" s="78"/>
      <c r="H10" s="78"/>
      <c r="I10" s="78"/>
      <c r="J10" s="78"/>
      <c r="K10" s="78"/>
      <c r="L10" s="78"/>
      <c r="M10" s="78"/>
      <c r="N10" s="78"/>
    </row>
    <row r="11" spans="2:14" ht="15" x14ac:dyDescent="0.25">
      <c r="B11" s="77" t="s">
        <v>189</v>
      </c>
    </row>
    <row r="12" spans="2:14" x14ac:dyDescent="0.2">
      <c r="B12" s="89"/>
      <c r="C12" s="89" t="str">
        <f>C4</f>
        <v>Periode 1 (1-18 month)</v>
      </c>
      <c r="D12" s="89" t="str">
        <f t="shared" ref="D12:L12" si="1">D4</f>
        <v>Periode 2 (19-36 month)</v>
      </c>
      <c r="E12" s="89" t="str">
        <f t="shared" si="1"/>
        <v>Periode 3 (37-54 month)</v>
      </c>
      <c r="F12" s="89" t="str">
        <f t="shared" si="1"/>
        <v>Periode 4 (55-60 (72) month)</v>
      </c>
      <c r="G12" s="89" t="e">
        <f t="shared" si="1"/>
        <v>#REF!</v>
      </c>
      <c r="H12" s="89" t="e">
        <f t="shared" si="1"/>
        <v>#REF!</v>
      </c>
      <c r="I12" s="89" t="e">
        <f t="shared" si="1"/>
        <v>#REF!</v>
      </c>
      <c r="J12" s="89" t="e">
        <f t="shared" si="1"/>
        <v>#REF!</v>
      </c>
      <c r="K12" s="89" t="e">
        <f t="shared" si="1"/>
        <v>#REF!</v>
      </c>
      <c r="L12" s="89" t="e">
        <f t="shared" si="1"/>
        <v>#REF!</v>
      </c>
      <c r="M12" s="89" t="s">
        <v>183</v>
      </c>
      <c r="N12" s="89" t="s">
        <v>45</v>
      </c>
    </row>
    <row r="13" spans="2:14" x14ac:dyDescent="0.2">
      <c r="B13" t="s">
        <v>190</v>
      </c>
      <c r="C13" s="78"/>
      <c r="D13" s="78"/>
      <c r="E13" s="78"/>
      <c r="F13" s="78"/>
      <c r="G13" s="78"/>
      <c r="H13" s="78"/>
      <c r="I13" s="78"/>
      <c r="J13" s="78"/>
      <c r="K13" s="78"/>
      <c r="L13" s="78"/>
      <c r="M13" s="91">
        <f>H13+I13+J13</f>
        <v>0</v>
      </c>
      <c r="N13" s="78"/>
    </row>
    <row r="14" spans="2:14" x14ac:dyDescent="0.2">
      <c r="B14" t="s">
        <v>191</v>
      </c>
      <c r="C14" s="88"/>
      <c r="D14" s="88"/>
      <c r="E14" s="88"/>
      <c r="F14" s="88"/>
      <c r="G14" s="88"/>
      <c r="H14" s="88"/>
      <c r="I14" s="88"/>
      <c r="J14" s="88"/>
      <c r="K14" s="88"/>
      <c r="L14" s="88"/>
      <c r="M14" s="91">
        <f>H14+I14+J14</f>
        <v>0</v>
      </c>
      <c r="N14" s="88"/>
    </row>
    <row r="15" spans="2:14" x14ac:dyDescent="0.2">
      <c r="B15" t="s">
        <v>192</v>
      </c>
      <c r="C15" s="91" t="e">
        <f>C9</f>
        <v>#REF!</v>
      </c>
      <c r="D15" s="91" t="e">
        <f t="shared" ref="D15:L15" si="2">D9</f>
        <v>#REF!</v>
      </c>
      <c r="E15" s="91" t="e">
        <f t="shared" si="2"/>
        <v>#REF!</v>
      </c>
      <c r="F15" s="91" t="e">
        <f t="shared" si="2"/>
        <v>#REF!</v>
      </c>
      <c r="G15" s="91" t="e">
        <f t="shared" si="2"/>
        <v>#REF!</v>
      </c>
      <c r="H15" s="91" t="e">
        <f t="shared" si="2"/>
        <v>#REF!</v>
      </c>
      <c r="I15" s="91" t="e">
        <f t="shared" si="2"/>
        <v>#REF!</v>
      </c>
      <c r="J15" s="91" t="e">
        <f t="shared" si="2"/>
        <v>#REF!</v>
      </c>
      <c r="K15" s="91" t="e">
        <f t="shared" si="2"/>
        <v>#REF!</v>
      </c>
      <c r="L15" s="91" t="e">
        <f t="shared" si="2"/>
        <v>#REF!</v>
      </c>
      <c r="M15" s="91" t="e">
        <f>H15+I15+J15</f>
        <v>#REF!</v>
      </c>
      <c r="N15" s="91" t="e">
        <f>SUM(C15:L15)</f>
        <v>#REF!</v>
      </c>
    </row>
    <row r="16" spans="2:14" x14ac:dyDescent="0.2">
      <c r="B16" t="s">
        <v>193</v>
      </c>
      <c r="C16" s="91"/>
      <c r="D16" s="91"/>
      <c r="E16" s="91"/>
      <c r="F16" s="91"/>
      <c r="G16" s="91"/>
      <c r="H16" s="91"/>
      <c r="I16" s="91"/>
      <c r="J16" s="91"/>
      <c r="K16" s="91"/>
      <c r="L16" s="91"/>
      <c r="M16" s="91">
        <f>H16+I16+J16</f>
        <v>0</v>
      </c>
      <c r="N16" s="91">
        <f>SUM(C16:L16)</f>
        <v>0</v>
      </c>
    </row>
    <row r="17" spans="2:16" x14ac:dyDescent="0.2">
      <c r="B17" t="s">
        <v>194</v>
      </c>
      <c r="C17" s="91"/>
      <c r="D17" s="91"/>
      <c r="E17" s="91"/>
      <c r="F17" s="91"/>
      <c r="G17" s="91"/>
      <c r="H17" s="91"/>
      <c r="I17" s="91"/>
      <c r="J17" s="91"/>
      <c r="K17" s="91"/>
      <c r="L17" s="91"/>
      <c r="M17" s="91">
        <f>H17+I17+J17</f>
        <v>0</v>
      </c>
      <c r="N17" s="91">
        <f>SUM(C17:J17)</f>
        <v>0</v>
      </c>
    </row>
    <row r="18" spans="2:16" ht="15" x14ac:dyDescent="0.25">
      <c r="B18" s="31" t="s">
        <v>188</v>
      </c>
      <c r="C18" s="92" t="e">
        <f t="shared" ref="C18:M18" si="3">SUM(C14:C17)</f>
        <v>#REF!</v>
      </c>
      <c r="D18" s="92" t="e">
        <f t="shared" si="3"/>
        <v>#REF!</v>
      </c>
      <c r="E18" s="92" t="e">
        <f t="shared" si="3"/>
        <v>#REF!</v>
      </c>
      <c r="F18" s="92" t="e">
        <f t="shared" si="3"/>
        <v>#REF!</v>
      </c>
      <c r="G18" s="92" t="e">
        <f t="shared" si="3"/>
        <v>#REF!</v>
      </c>
      <c r="H18" s="92" t="e">
        <f t="shared" si="3"/>
        <v>#REF!</v>
      </c>
      <c r="I18" s="92" t="e">
        <f t="shared" si="3"/>
        <v>#REF!</v>
      </c>
      <c r="J18" s="92" t="e">
        <f t="shared" si="3"/>
        <v>#REF!</v>
      </c>
      <c r="K18" s="92" t="e">
        <f t="shared" si="3"/>
        <v>#REF!</v>
      </c>
      <c r="L18" s="92" t="e">
        <f t="shared" si="3"/>
        <v>#REF!</v>
      </c>
      <c r="M18" s="92" t="e">
        <f t="shared" si="3"/>
        <v>#REF!</v>
      </c>
      <c r="N18" s="92" t="e">
        <f>SUM(N13:N17)</f>
        <v>#REF!</v>
      </c>
    </row>
    <row r="20" spans="2:16" ht="15" x14ac:dyDescent="0.25">
      <c r="B20" s="77" t="s">
        <v>195</v>
      </c>
    </row>
    <row r="21" spans="2:16" x14ac:dyDescent="0.2">
      <c r="B21" s="89"/>
      <c r="C21" s="89" t="str">
        <f>C4</f>
        <v>Periode 1 (1-18 month)</v>
      </c>
      <c r="D21" s="89" t="str">
        <f t="shared" ref="D21:L21" si="4">D4</f>
        <v>Periode 2 (19-36 month)</v>
      </c>
      <c r="E21" s="89" t="str">
        <f t="shared" si="4"/>
        <v>Periode 3 (37-54 month)</v>
      </c>
      <c r="F21" s="89" t="str">
        <f t="shared" si="4"/>
        <v>Periode 4 (55-60 (72) month)</v>
      </c>
      <c r="G21" s="89" t="e">
        <f t="shared" si="4"/>
        <v>#REF!</v>
      </c>
      <c r="H21" s="89" t="e">
        <f t="shared" si="4"/>
        <v>#REF!</v>
      </c>
      <c r="I21" s="89" t="e">
        <f t="shared" si="4"/>
        <v>#REF!</v>
      </c>
      <c r="J21" s="89" t="e">
        <f t="shared" si="4"/>
        <v>#REF!</v>
      </c>
      <c r="K21" s="89" t="e">
        <f t="shared" si="4"/>
        <v>#REF!</v>
      </c>
      <c r="L21" s="89" t="e">
        <f t="shared" si="4"/>
        <v>#REF!</v>
      </c>
      <c r="M21" s="89" t="s">
        <v>183</v>
      </c>
      <c r="N21" s="89" t="s">
        <v>45</v>
      </c>
      <c r="O21" s="89" t="s">
        <v>196</v>
      </c>
    </row>
    <row r="22" spans="2:16" x14ac:dyDescent="0.2">
      <c r="B22" t="s">
        <v>197</v>
      </c>
      <c r="C22" s="91">
        <f>-Budsjett!F50</f>
        <v>0</v>
      </c>
      <c r="D22" s="91">
        <f>-Budsjett!G50</f>
        <v>0</v>
      </c>
      <c r="E22" s="91">
        <f>-Budsjett!H50</f>
        <v>0</v>
      </c>
      <c r="F22" s="91">
        <f>-Budsjett!I50</f>
        <v>0</v>
      </c>
      <c r="G22" s="91" t="e">
        <f>-Budsjett!#REF!</f>
        <v>#REF!</v>
      </c>
      <c r="H22" s="91" t="e">
        <f>-Budsjett!#REF!</f>
        <v>#REF!</v>
      </c>
      <c r="I22" s="91" t="e">
        <f>-Budsjett!#REF!</f>
        <v>#REF!</v>
      </c>
      <c r="J22" s="91" t="e">
        <f>-Budsjett!#REF!</f>
        <v>#REF!</v>
      </c>
      <c r="K22" s="91" t="e">
        <f>-Budsjett!#REF!</f>
        <v>#REF!</v>
      </c>
      <c r="L22" s="91" t="e">
        <f>-Budsjett!#REF!</f>
        <v>#REF!</v>
      </c>
      <c r="M22" s="91" t="e">
        <f>H22+I22+J22</f>
        <v>#REF!</v>
      </c>
      <c r="N22" s="91" t="e">
        <f>SUM(C22:L22)</f>
        <v>#REF!</v>
      </c>
      <c r="O22" s="88">
        <f t="shared" ref="O22:O27" si="5">IFERROR(N22/$N$27*100,0)</f>
        <v>0</v>
      </c>
      <c r="P22" s="88">
        <f>IFERROR(N22/($N$22+$N$25)*100,0)</f>
        <v>0</v>
      </c>
    </row>
    <row r="23" spans="2:16" x14ac:dyDescent="0.2">
      <c r="B23" t="s">
        <v>198</v>
      </c>
      <c r="C23" s="91">
        <f>-IF(Registrering!$C$26="Fast beløp",Finansiering!C7,Budsjett!#REF!-Budsjett!BP50)</f>
        <v>0</v>
      </c>
      <c r="D23" s="91">
        <f>-IF(Registrering!$C$26="Fast beløp",Finansiering!D7,Budsjett!#REF!-Budsjett!BQ50)</f>
        <v>0</v>
      </c>
      <c r="E23" s="91">
        <f>-IF(Registrering!$C$26="Fast beløp",Finansiering!E7,Budsjett!#REF!-Budsjett!BR50)</f>
        <v>0</v>
      </c>
      <c r="F23" s="91">
        <f>-IF(Registrering!$C$26="Fast beløp",Finansiering!F7,Budsjett!#REF!-Budsjett!BS50)</f>
        <v>0</v>
      </c>
      <c r="G23" s="91" t="e">
        <f>-IF(Registrering!$C$26="Fast beløp",Finansiering!#REF!,Budsjett!#REF!-Budsjett!#REF!)</f>
        <v>#REF!</v>
      </c>
      <c r="H23" s="91" t="e">
        <f>-IF(Registrering!$C$26="Fast beløp",Finansiering!#REF!,Budsjett!#REF!-Budsjett!#REF!)</f>
        <v>#REF!</v>
      </c>
      <c r="I23" s="91" t="e">
        <f>-IF(Registrering!$C$26="Fast beløp",Finansiering!#REF!,Budsjett!#REF!-Budsjett!#REF!)</f>
        <v>#REF!</v>
      </c>
      <c r="J23" s="91" t="e">
        <f>-IF(Registrering!$C$26="Fast beløp",Finansiering!#REF!,Budsjett!#REF!-Budsjett!#REF!)</f>
        <v>#REF!</v>
      </c>
      <c r="K23" s="91" t="e">
        <f>-IF(Registrering!$C$26="Fast beløp",Finansiering!#REF!,Budsjett!#REF!-Budsjett!#REF!)</f>
        <v>#REF!</v>
      </c>
      <c r="L23" s="91" t="e">
        <f>-IF(Registrering!$C$26="Fast beløp",Finansiering!#REF!,Budsjett!#REF!-Budsjett!#REF!)</f>
        <v>#REF!</v>
      </c>
      <c r="M23" s="91" t="e">
        <f>H23+I23+J23</f>
        <v>#REF!</v>
      </c>
      <c r="N23" s="91" t="e">
        <f>SUM(C23:L23)</f>
        <v>#REF!</v>
      </c>
      <c r="O23" s="88">
        <f t="shared" si="5"/>
        <v>0</v>
      </c>
    </row>
    <row r="24" spans="2:16" x14ac:dyDescent="0.2">
      <c r="B24" t="s">
        <v>199</v>
      </c>
      <c r="C24" s="91">
        <f>-IF(Registrering!$C$26="Fast beløp",Finansiering!C8,Budsjett!#REF!)</f>
        <v>0</v>
      </c>
      <c r="D24" s="91">
        <f>-IF(Registrering!$C$26="Fast beløp",Finansiering!D8,Budsjett!#REF!)</f>
        <v>0</v>
      </c>
      <c r="E24" s="91">
        <f>-IF(Registrering!$C$26="Fast beløp",Finansiering!E8,Budsjett!#REF!)</f>
        <v>0</v>
      </c>
      <c r="F24" s="91">
        <f>-IF(Registrering!$C$26="Fast beløp",Finansiering!F8,Budsjett!#REF!)</f>
        <v>0</v>
      </c>
      <c r="G24" s="91" t="e">
        <f>-IF(Registrering!$C$26="Fast beløp",Finansiering!#REF!,Budsjett!#REF!)</f>
        <v>#REF!</v>
      </c>
      <c r="H24" s="91" t="e">
        <f>-IF(Registrering!$C$26="Fast beløp",Finansiering!#REF!,Budsjett!#REF!)</f>
        <v>#REF!</v>
      </c>
      <c r="I24" s="91" t="e">
        <f>-IF(Registrering!$C$26="Fast beløp",Finansiering!#REF!,Budsjett!#REF!)</f>
        <v>#REF!</v>
      </c>
      <c r="J24" s="91" t="e">
        <f>-IF(Registrering!$C$26="Fast beløp",Finansiering!#REF!,Budsjett!#REF!)</f>
        <v>#REF!</v>
      </c>
      <c r="K24" s="91" t="e">
        <f>-IF(Registrering!$C$26="Fast beløp",Finansiering!#REF!,Budsjett!#REF!)</f>
        <v>#REF!</v>
      </c>
      <c r="L24" s="91" t="e">
        <f>-IF(Registrering!$C$26="Fast beløp",Finansiering!#REF!,Budsjett!#REF!)</f>
        <v>#REF!</v>
      </c>
      <c r="M24" s="91" t="e">
        <f>H24+I24+J24</f>
        <v>#REF!</v>
      </c>
      <c r="N24" s="91" t="e">
        <f>SUM(C24:L24)</f>
        <v>#REF!</v>
      </c>
      <c r="O24" s="88">
        <f t="shared" si="5"/>
        <v>0</v>
      </c>
    </row>
    <row r="25" spans="2:16" x14ac:dyDescent="0.2">
      <c r="B25" t="s">
        <v>200</v>
      </c>
      <c r="C25" s="91" t="e">
        <f>-IF(Registrering!$C$26="Fast beløp",Finansiering!#REF!,Budsjett!#REF!)</f>
        <v>#REF!</v>
      </c>
      <c r="D25" s="91" t="e">
        <f>-IF(Registrering!$C$26="Fast beløp",Finansiering!#REF!,Budsjett!#REF!)</f>
        <v>#REF!</v>
      </c>
      <c r="E25" s="91" t="e">
        <f>-IF(Registrering!$C$26="Fast beløp",Finansiering!#REF!,Budsjett!#REF!)</f>
        <v>#REF!</v>
      </c>
      <c r="F25" s="91" t="e">
        <f>-IF(Registrering!$C$26="Fast beløp",Finansiering!#REF!,Budsjett!#REF!)</f>
        <v>#REF!</v>
      </c>
      <c r="G25" s="91" t="e">
        <f>-IF(Registrering!$C$26="Fast beløp",Finansiering!#REF!,Budsjett!#REF!)</f>
        <v>#REF!</v>
      </c>
      <c r="H25" s="91" t="e">
        <f>-IF(Registrering!$C$26="Fast beløp",Finansiering!#REF!,Budsjett!#REF!)</f>
        <v>#REF!</v>
      </c>
      <c r="I25" s="91" t="e">
        <f>-IF(Registrering!$C$26="Fast beløp",Finansiering!#REF!,Budsjett!#REF!)</f>
        <v>#REF!</v>
      </c>
      <c r="J25" s="91" t="e">
        <f>-IF(Registrering!$C$26="Fast beløp",Finansiering!#REF!,Budsjett!#REF!)</f>
        <v>#REF!</v>
      </c>
      <c r="K25" s="91" t="e">
        <f>-IF(Registrering!$C$26="Fast beløp",Finansiering!#REF!,Budsjett!#REF!)</f>
        <v>#REF!</v>
      </c>
      <c r="L25" s="91" t="e">
        <f>-IF(Registrering!$C$26="Fast beløp",Finansiering!#REF!,Budsjett!#REF!)</f>
        <v>#REF!</v>
      </c>
      <c r="M25" s="91" t="e">
        <f>H25+I25+J25</f>
        <v>#REF!</v>
      </c>
      <c r="N25" s="91" t="e">
        <f>SUM(C25:L25)</f>
        <v>#REF!</v>
      </c>
      <c r="O25" s="88">
        <f t="shared" si="5"/>
        <v>0</v>
      </c>
      <c r="P25" s="88">
        <f>IFERROR(N25/($N$22+$N$25)*100,0)</f>
        <v>0</v>
      </c>
    </row>
    <row r="26" spans="2:16" x14ac:dyDescent="0.2">
      <c r="B26" t="s">
        <v>201</v>
      </c>
      <c r="C26" s="91" t="e">
        <f>-IF(Registrering!$C$26="Fast beløp",Finansiering!#REF!,Budsjett!#REF!)</f>
        <v>#REF!</v>
      </c>
      <c r="D26" s="91" t="e">
        <f>-IF(Registrering!$C$26="Fast beløp",Finansiering!#REF!,Budsjett!#REF!)</f>
        <v>#REF!</v>
      </c>
      <c r="E26" s="91" t="e">
        <f>-IF(Registrering!$C$26="Fast beløp",Finansiering!#REF!,Budsjett!#REF!)</f>
        <v>#REF!</v>
      </c>
      <c r="F26" s="91" t="e">
        <f>-IF(Registrering!$C$26="Fast beløp",Finansiering!#REF!,Budsjett!#REF!)</f>
        <v>#REF!</v>
      </c>
      <c r="G26" s="91" t="e">
        <f>-IF(Registrering!$C$26="Fast beløp",Finansiering!#REF!,Budsjett!#REF!)</f>
        <v>#REF!</v>
      </c>
      <c r="H26" s="91" t="e">
        <f>-IF(Registrering!$C$26="Fast beløp",Finansiering!#REF!,Budsjett!#REF!)</f>
        <v>#REF!</v>
      </c>
      <c r="I26" s="91" t="e">
        <f>-IF(Registrering!$C$26="Fast beløp",Finansiering!#REF!,Budsjett!#REF!)</f>
        <v>#REF!</v>
      </c>
      <c r="J26" s="91" t="e">
        <f>-IF(Registrering!$C$26="Fast beløp",Finansiering!#REF!,Budsjett!#REF!)</f>
        <v>#REF!</v>
      </c>
      <c r="K26" s="91" t="e">
        <f>-IF(Registrering!$C$26="Fast beløp",Finansiering!#REF!,Budsjett!#REF!)</f>
        <v>#REF!</v>
      </c>
      <c r="L26" s="91" t="e">
        <f>-IF(Registrering!$C$26="Fast beløp",Finansiering!#REF!,Budsjett!#REF!)</f>
        <v>#REF!</v>
      </c>
      <c r="M26" s="91" t="e">
        <f>H26+I26+J26</f>
        <v>#REF!</v>
      </c>
      <c r="N26" s="91" t="e">
        <f>SUM(C26:L26)</f>
        <v>#REF!</v>
      </c>
      <c r="O26" s="88">
        <f t="shared" si="5"/>
        <v>0</v>
      </c>
    </row>
    <row r="27" spans="2:16" ht="15" x14ac:dyDescent="0.25">
      <c r="B27" s="31" t="s">
        <v>188</v>
      </c>
      <c r="C27" s="92" t="e">
        <f>SUM(C22:C26)</f>
        <v>#REF!</v>
      </c>
      <c r="D27" s="92" t="e">
        <f t="shared" ref="D27:M27" si="6">SUM(D22:D26)</f>
        <v>#REF!</v>
      </c>
      <c r="E27" s="92" t="e">
        <f t="shared" si="6"/>
        <v>#REF!</v>
      </c>
      <c r="F27" s="92" t="e">
        <f t="shared" si="6"/>
        <v>#REF!</v>
      </c>
      <c r="G27" s="92" t="e">
        <f t="shared" si="6"/>
        <v>#REF!</v>
      </c>
      <c r="H27" s="92" t="e">
        <f t="shared" si="6"/>
        <v>#REF!</v>
      </c>
      <c r="I27" s="92" t="e">
        <f t="shared" si="6"/>
        <v>#REF!</v>
      </c>
      <c r="J27" s="92" t="e">
        <f t="shared" si="6"/>
        <v>#REF!</v>
      </c>
      <c r="K27" s="92" t="e">
        <f t="shared" si="6"/>
        <v>#REF!</v>
      </c>
      <c r="L27" s="92" t="e">
        <f t="shared" si="6"/>
        <v>#REF!</v>
      </c>
      <c r="M27" s="92" t="e">
        <f t="shared" si="6"/>
        <v>#REF!</v>
      </c>
      <c r="N27" s="92" t="e">
        <f>SUM(N22:N26)</f>
        <v>#REF!</v>
      </c>
      <c r="O27" s="92">
        <f t="shared" si="5"/>
        <v>0</v>
      </c>
    </row>
    <row r="28" spans="2:16" x14ac:dyDescent="0.2">
      <c r="B28" s="95" t="s">
        <v>202</v>
      </c>
      <c r="C28" s="96" t="e">
        <f>C9-C27</f>
        <v>#REF!</v>
      </c>
      <c r="D28" s="96" t="e">
        <f t="shared" ref="D28:N28" si="7">D9-D27</f>
        <v>#REF!</v>
      </c>
      <c r="E28" s="96" t="e">
        <f t="shared" si="7"/>
        <v>#REF!</v>
      </c>
      <c r="F28" s="96" t="e">
        <f t="shared" si="7"/>
        <v>#REF!</v>
      </c>
      <c r="G28" s="96" t="e">
        <f t="shared" si="7"/>
        <v>#REF!</v>
      </c>
      <c r="H28" s="96" t="e">
        <f t="shared" si="7"/>
        <v>#REF!</v>
      </c>
      <c r="I28" s="96" t="e">
        <f t="shared" si="7"/>
        <v>#REF!</v>
      </c>
      <c r="J28" s="96" t="e">
        <f t="shared" si="7"/>
        <v>#REF!</v>
      </c>
      <c r="K28" s="96" t="e">
        <f t="shared" si="7"/>
        <v>#REF!</v>
      </c>
      <c r="L28" s="96" t="e">
        <f t="shared" si="7"/>
        <v>#REF!</v>
      </c>
      <c r="M28" s="96"/>
      <c r="N28" s="96" t="e">
        <f t="shared" si="7"/>
        <v>#REF!</v>
      </c>
    </row>
    <row r="29" spans="2:16" ht="15" x14ac:dyDescent="0.25">
      <c r="B29" s="77" t="s">
        <v>203</v>
      </c>
    </row>
    <row r="30" spans="2:16" x14ac:dyDescent="0.2">
      <c r="B30" s="89"/>
      <c r="C30" s="89" t="str">
        <f>C4</f>
        <v>Periode 1 (1-18 month)</v>
      </c>
      <c r="D30" s="89" t="str">
        <f t="shared" ref="D30:L30" si="8">D4</f>
        <v>Periode 2 (19-36 month)</v>
      </c>
      <c r="E30" s="89" t="str">
        <f t="shared" si="8"/>
        <v>Periode 3 (37-54 month)</v>
      </c>
      <c r="F30" s="89" t="str">
        <f t="shared" si="8"/>
        <v>Periode 4 (55-60 (72) month)</v>
      </c>
      <c r="G30" s="89" t="e">
        <f t="shared" si="8"/>
        <v>#REF!</v>
      </c>
      <c r="H30" s="89" t="e">
        <f t="shared" si="8"/>
        <v>#REF!</v>
      </c>
      <c r="I30" s="89" t="e">
        <f t="shared" si="8"/>
        <v>#REF!</v>
      </c>
      <c r="J30" s="89" t="e">
        <f t="shared" si="8"/>
        <v>#REF!</v>
      </c>
      <c r="K30" s="89" t="e">
        <f t="shared" si="8"/>
        <v>#REF!</v>
      </c>
      <c r="L30" s="89" t="e">
        <f t="shared" si="8"/>
        <v>#REF!</v>
      </c>
      <c r="M30" s="89" t="s">
        <v>183</v>
      </c>
      <c r="N30" s="89" t="s">
        <v>45</v>
      </c>
    </row>
    <row r="31" spans="2:16" x14ac:dyDescent="0.2">
      <c r="B31" t="s">
        <v>204</v>
      </c>
      <c r="C31" s="97" t="e">
        <f>-SUMIF(Budsjett!#REF!,Finansiering!#REF!,Budsjett!#REF!)</f>
        <v>#REF!</v>
      </c>
      <c r="D31" s="97" t="e">
        <f>-SUMIF(Budsjett!#REF!,Finansiering!#REF!,Budsjett!#REF!)</f>
        <v>#REF!</v>
      </c>
      <c r="E31" s="97" t="e">
        <f>-SUMIF(Budsjett!#REF!,Finansiering!#REF!,Budsjett!#REF!)</f>
        <v>#REF!</v>
      </c>
      <c r="F31" s="97" t="e">
        <f>-SUMIF(Budsjett!#REF!,Finansiering!#REF!,Budsjett!#REF!)</f>
        <v>#REF!</v>
      </c>
      <c r="G31" s="97" t="e">
        <f>-SUMIF(Budsjett!#REF!,Finansiering!#REF!,Budsjett!#REF!)</f>
        <v>#REF!</v>
      </c>
      <c r="H31" s="97" t="e">
        <f>-SUMIF(Budsjett!#REF!,Finansiering!#REF!,Budsjett!#REF!)</f>
        <v>#REF!</v>
      </c>
      <c r="I31" s="97" t="e">
        <f>-SUMIF(Budsjett!#REF!,Finansiering!#REF!,Budsjett!#REF!)</f>
        <v>#REF!</v>
      </c>
      <c r="J31" s="97" t="e">
        <f>-SUMIF(Budsjett!#REF!,Finansiering!#REF!,Budsjett!#REF!)</f>
        <v>#REF!</v>
      </c>
      <c r="K31" s="97" t="e">
        <f>-SUMIF(Budsjett!#REF!,Finansiering!#REF!,Budsjett!#REF!)</f>
        <v>#REF!</v>
      </c>
      <c r="L31" s="97" t="e">
        <f>-SUMIF(Budsjett!#REF!,Finansiering!#REF!,Budsjett!#REF!)</f>
        <v>#REF!</v>
      </c>
      <c r="M31" s="97" t="e">
        <f>H31+I31+J31</f>
        <v>#REF!</v>
      </c>
      <c r="N31" s="91" t="e">
        <f>SUM(C31:L31)</f>
        <v>#REF!</v>
      </c>
    </row>
    <row r="32" spans="2:16" x14ac:dyDescent="0.2">
      <c r="B32" t="s">
        <v>205</v>
      </c>
      <c r="C32" s="97" t="e">
        <f>-SUMIF(Budsjett!#REF!,Finansiering!#REF!,Budsjett!#REF!)</f>
        <v>#REF!</v>
      </c>
      <c r="D32" s="97" t="e">
        <f>-SUMIF(Budsjett!#REF!,Finansiering!#REF!,Budsjett!#REF!)</f>
        <v>#REF!</v>
      </c>
      <c r="E32" s="97" t="e">
        <f>-SUMIF(Budsjett!#REF!,Finansiering!#REF!,Budsjett!#REF!)</f>
        <v>#REF!</v>
      </c>
      <c r="F32" s="97" t="e">
        <f>-SUMIF(Budsjett!#REF!,Finansiering!#REF!,Budsjett!#REF!)</f>
        <v>#REF!</v>
      </c>
      <c r="G32" s="97" t="e">
        <f>-SUMIF(Budsjett!#REF!,Finansiering!#REF!,Budsjett!#REF!)</f>
        <v>#REF!</v>
      </c>
      <c r="H32" s="97" t="e">
        <f>-SUMIF(Budsjett!#REF!,Finansiering!#REF!,Budsjett!#REF!)</f>
        <v>#REF!</v>
      </c>
      <c r="I32" s="97" t="e">
        <f>-SUMIF(Budsjett!#REF!,Finansiering!#REF!,Budsjett!#REF!)</f>
        <v>#REF!</v>
      </c>
      <c r="J32" s="97" t="e">
        <f>-SUMIF(Budsjett!#REF!,Finansiering!#REF!,Budsjett!#REF!)</f>
        <v>#REF!</v>
      </c>
      <c r="K32" s="97" t="e">
        <f>-SUMIF(Budsjett!#REF!,Finansiering!#REF!,Budsjett!#REF!)</f>
        <v>#REF!</v>
      </c>
      <c r="L32" s="97" t="e">
        <f>-SUMIF(Budsjett!#REF!,Finansiering!#REF!,Budsjett!#REF!)</f>
        <v>#REF!</v>
      </c>
      <c r="M32" s="97" t="e">
        <f t="shared" ref="M32:M41" si="9">H32+I32+J32</f>
        <v>#REF!</v>
      </c>
      <c r="N32" s="91" t="e">
        <f t="shared" ref="N32:N37" si="10">SUM(C32:L32)</f>
        <v>#REF!</v>
      </c>
    </row>
    <row r="33" spans="2:14" x14ac:dyDescent="0.2">
      <c r="B33" t="s">
        <v>206</v>
      </c>
      <c r="C33" s="97" t="e">
        <f>-SUMIF(Budsjett!#REF!,Finansiering!#REF!,Budsjett!#REF!)</f>
        <v>#REF!</v>
      </c>
      <c r="D33" s="97" t="e">
        <f>-SUMIF(Budsjett!#REF!,Finansiering!#REF!,Budsjett!#REF!)</f>
        <v>#REF!</v>
      </c>
      <c r="E33" s="97" t="e">
        <f>-SUMIF(Budsjett!#REF!,Finansiering!#REF!,Budsjett!#REF!)</f>
        <v>#REF!</v>
      </c>
      <c r="F33" s="97" t="e">
        <f>-SUMIF(Budsjett!#REF!,Finansiering!#REF!,Budsjett!#REF!)</f>
        <v>#REF!</v>
      </c>
      <c r="G33" s="97" t="e">
        <f>-SUMIF(Budsjett!#REF!,Finansiering!#REF!,Budsjett!#REF!)</f>
        <v>#REF!</v>
      </c>
      <c r="H33" s="97" t="e">
        <f>-SUMIF(Budsjett!#REF!,Finansiering!#REF!,Budsjett!#REF!)</f>
        <v>#REF!</v>
      </c>
      <c r="I33" s="97" t="e">
        <f>-SUMIF(Budsjett!#REF!,Finansiering!#REF!,Budsjett!#REF!)</f>
        <v>#REF!</v>
      </c>
      <c r="J33" s="97" t="e">
        <f>-SUMIF(Budsjett!#REF!,Finansiering!#REF!,Budsjett!#REF!)</f>
        <v>#REF!</v>
      </c>
      <c r="K33" s="97" t="e">
        <f>-SUMIF(Budsjett!#REF!,Finansiering!#REF!,Budsjett!#REF!)</f>
        <v>#REF!</v>
      </c>
      <c r="L33" s="97" t="e">
        <f>-SUMIF(Budsjett!#REF!,Finansiering!#REF!,Budsjett!#REF!)</f>
        <v>#REF!</v>
      </c>
      <c r="M33" s="97" t="e">
        <f t="shared" si="9"/>
        <v>#REF!</v>
      </c>
      <c r="N33" s="91" t="e">
        <f t="shared" si="10"/>
        <v>#REF!</v>
      </c>
    </row>
    <row r="34" spans="2:14" x14ac:dyDescent="0.2">
      <c r="B34" t="s">
        <v>207</v>
      </c>
      <c r="C34" s="97" t="e">
        <f>-SUMIF(Budsjett!#REF!,Finansiering!#REF!,Budsjett!#REF!)-SUMIF(Budsjett!#REF!,Finansiering!#REF!,Budsjett!#REF!)</f>
        <v>#REF!</v>
      </c>
      <c r="D34" s="97" t="e">
        <f>-SUMIF(Budsjett!#REF!,Finansiering!#REF!,Budsjett!#REF!)-SUMIF(Budsjett!#REF!,Finansiering!#REF!,Budsjett!#REF!)</f>
        <v>#REF!</v>
      </c>
      <c r="E34" s="97" t="e">
        <f>-SUMIF(Budsjett!#REF!,Finansiering!#REF!,Budsjett!#REF!)-SUMIF(Budsjett!#REF!,Finansiering!#REF!,Budsjett!#REF!)</f>
        <v>#REF!</v>
      </c>
      <c r="F34" s="97" t="e">
        <f>-SUMIF(Budsjett!#REF!,Finansiering!#REF!,Budsjett!#REF!)-SUMIF(Budsjett!#REF!,Finansiering!#REF!,Budsjett!#REF!)</f>
        <v>#REF!</v>
      </c>
      <c r="G34" s="97" t="e">
        <f>-SUMIF(Budsjett!#REF!,Finansiering!#REF!,Budsjett!#REF!)-SUMIF(Budsjett!#REF!,Finansiering!#REF!,Budsjett!#REF!)</f>
        <v>#REF!</v>
      </c>
      <c r="H34" s="97" t="e">
        <f>-SUMIF(Budsjett!#REF!,Finansiering!#REF!,Budsjett!#REF!)-SUMIF(Budsjett!#REF!,Finansiering!#REF!,Budsjett!#REF!)</f>
        <v>#REF!</v>
      </c>
      <c r="I34" s="97" t="e">
        <f>-SUMIF(Budsjett!#REF!,Finansiering!#REF!,Budsjett!#REF!)-SUMIF(Budsjett!#REF!,Finansiering!#REF!,Budsjett!#REF!)</f>
        <v>#REF!</v>
      </c>
      <c r="J34" s="97" t="e">
        <f>-SUMIF(Budsjett!#REF!,Finansiering!#REF!,Budsjett!#REF!)-SUMIF(Budsjett!#REF!,Finansiering!#REF!,Budsjett!#REF!)</f>
        <v>#REF!</v>
      </c>
      <c r="K34" s="97" t="e">
        <f>-SUMIF(Budsjett!#REF!,Finansiering!#REF!,Budsjett!#REF!)-SUMIF(Budsjett!#REF!,Finansiering!#REF!,Budsjett!#REF!)</f>
        <v>#REF!</v>
      </c>
      <c r="L34" s="97" t="e">
        <f>-SUMIF(Budsjett!#REF!,Finansiering!#REF!,Budsjett!#REF!)-SUMIF(Budsjett!#REF!,Finansiering!#REF!,Budsjett!#REF!)</f>
        <v>#REF!</v>
      </c>
      <c r="M34" s="97" t="e">
        <f t="shared" si="9"/>
        <v>#REF!</v>
      </c>
      <c r="N34" s="91" t="e">
        <f t="shared" si="10"/>
        <v>#REF!</v>
      </c>
    </row>
    <row r="35" spans="2:14" x14ac:dyDescent="0.2">
      <c r="B35" t="s">
        <v>208</v>
      </c>
      <c r="C35" s="97" t="e">
        <f>-SUMIF(Budsjett!#REF!,Finansiering!#REF!,Budsjett!#REF!)-SUMIF(Budsjett!#REF!,Finansiering!#REF!,Budsjett!#REF!)</f>
        <v>#REF!</v>
      </c>
      <c r="D35" s="97" t="e">
        <f>-SUMIF(Budsjett!#REF!,Finansiering!#REF!,Budsjett!#REF!)-SUMIF(Budsjett!#REF!,Finansiering!#REF!,Budsjett!#REF!)</f>
        <v>#REF!</v>
      </c>
      <c r="E35" s="97" t="e">
        <f>-SUMIF(Budsjett!#REF!,Finansiering!#REF!,Budsjett!#REF!)-SUMIF(Budsjett!#REF!,Finansiering!#REF!,Budsjett!#REF!)</f>
        <v>#REF!</v>
      </c>
      <c r="F35" s="97" t="e">
        <f>-SUMIF(Budsjett!#REF!,Finansiering!#REF!,Budsjett!#REF!)-SUMIF(Budsjett!#REF!,Finansiering!#REF!,Budsjett!#REF!)</f>
        <v>#REF!</v>
      </c>
      <c r="G35" s="97" t="e">
        <f>-SUMIF(Budsjett!#REF!,Finansiering!#REF!,Budsjett!#REF!)-SUMIF(Budsjett!#REF!,Finansiering!#REF!,Budsjett!#REF!)</f>
        <v>#REF!</v>
      </c>
      <c r="H35" s="97" t="e">
        <f>-SUMIF(Budsjett!#REF!,Finansiering!#REF!,Budsjett!#REF!)-SUMIF(Budsjett!#REF!,Finansiering!#REF!,Budsjett!#REF!)</f>
        <v>#REF!</v>
      </c>
      <c r="I35" s="97" t="e">
        <f>-SUMIF(Budsjett!#REF!,Finansiering!#REF!,Budsjett!#REF!)-SUMIF(Budsjett!#REF!,Finansiering!#REF!,Budsjett!#REF!)</f>
        <v>#REF!</v>
      </c>
      <c r="J35" s="97" t="e">
        <f>-SUMIF(Budsjett!#REF!,Finansiering!#REF!,Budsjett!#REF!)-SUMIF(Budsjett!#REF!,Finansiering!#REF!,Budsjett!#REF!)</f>
        <v>#REF!</v>
      </c>
      <c r="K35" s="97" t="e">
        <f>-SUMIF(Budsjett!#REF!,Finansiering!#REF!,Budsjett!#REF!)-SUMIF(Budsjett!#REF!,Finansiering!#REF!,Budsjett!#REF!)</f>
        <v>#REF!</v>
      </c>
      <c r="L35" s="97" t="e">
        <f>-SUMIF(Budsjett!#REF!,Finansiering!#REF!,Budsjett!#REF!)-SUMIF(Budsjett!#REF!,Finansiering!#REF!,Budsjett!#REF!)</f>
        <v>#REF!</v>
      </c>
      <c r="M35" s="97" t="e">
        <f t="shared" si="9"/>
        <v>#REF!</v>
      </c>
      <c r="N35" s="91" t="e">
        <f t="shared" si="10"/>
        <v>#REF!</v>
      </c>
    </row>
    <row r="36" spans="2:14" x14ac:dyDescent="0.2">
      <c r="B36" t="s">
        <v>209</v>
      </c>
      <c r="C36" s="97" t="e">
        <f>-Budsjett!#REF!-SUM(C31:C35)-C37</f>
        <v>#REF!</v>
      </c>
      <c r="D36" s="97" t="e">
        <f>-Budsjett!#REF!-SUM(D31:D35)-D37</f>
        <v>#REF!</v>
      </c>
      <c r="E36" s="97" t="e">
        <f>-Budsjett!#REF!-SUM(E31:E35)-E37</f>
        <v>#REF!</v>
      </c>
      <c r="F36" s="97" t="e">
        <f>-Budsjett!#REF!-SUM(F31:F35)-F37</f>
        <v>#REF!</v>
      </c>
      <c r="G36" s="97" t="e">
        <f>-Budsjett!#REF!-SUM(G31:G35)-G37</f>
        <v>#REF!</v>
      </c>
      <c r="H36" s="97" t="e">
        <f>-Budsjett!#REF!-SUM(H31:H35)-H37</f>
        <v>#REF!</v>
      </c>
      <c r="I36" s="97" t="e">
        <f>-Budsjett!#REF!-SUM(I31:I35)-I37</f>
        <v>#REF!</v>
      </c>
      <c r="J36" s="97" t="e">
        <f>-Budsjett!#REF!-SUM(J31:J35)-J37</f>
        <v>#REF!</v>
      </c>
      <c r="K36" s="97" t="e">
        <f>-Budsjett!#REF!-SUM(K31:K35)-K37</f>
        <v>#REF!</v>
      </c>
      <c r="L36" s="97" t="e">
        <f>-Budsjett!#REF!-SUM(L31:L35)-L37</f>
        <v>#REF!</v>
      </c>
      <c r="M36" s="97" t="e">
        <f t="shared" si="9"/>
        <v>#REF!</v>
      </c>
      <c r="N36" s="91" t="e">
        <f t="shared" si="10"/>
        <v>#REF!</v>
      </c>
    </row>
    <row r="37" spans="2:14" x14ac:dyDescent="0.2">
      <c r="B37" t="s">
        <v>210</v>
      </c>
      <c r="C37" s="97" t="e">
        <f>-SUMIF(Budsjett!#REF!,Finansiering!#REF!,Budsjett!#REF!)-SUMIF(Budsjett!#REF!,Finansiering!#REF!,Budsjett!#REF!)</f>
        <v>#REF!</v>
      </c>
      <c r="D37" s="97" t="e">
        <f>-SUMIF(Budsjett!#REF!,Finansiering!#REF!,Budsjett!#REF!)-SUMIF(Budsjett!#REF!,Finansiering!#REF!,Budsjett!#REF!)</f>
        <v>#REF!</v>
      </c>
      <c r="E37" s="97" t="e">
        <f>-SUMIF(Budsjett!#REF!,Finansiering!#REF!,Budsjett!#REF!)-SUMIF(Budsjett!#REF!,Finansiering!#REF!,Budsjett!#REF!)</f>
        <v>#REF!</v>
      </c>
      <c r="F37" s="97" t="e">
        <f>-SUMIF(Budsjett!#REF!,Finansiering!#REF!,Budsjett!#REF!)-SUMIF(Budsjett!#REF!,Finansiering!#REF!,Budsjett!#REF!)</f>
        <v>#REF!</v>
      </c>
      <c r="G37" s="97" t="e">
        <f>-SUMIF(Budsjett!#REF!,Finansiering!#REF!,Budsjett!#REF!)-SUMIF(Budsjett!#REF!,Finansiering!#REF!,Budsjett!#REF!)</f>
        <v>#REF!</v>
      </c>
      <c r="H37" s="97" t="e">
        <f>-SUMIF(Budsjett!#REF!,Finansiering!#REF!,Budsjett!#REF!)-SUMIF(Budsjett!#REF!,Finansiering!#REF!,Budsjett!#REF!)</f>
        <v>#REF!</v>
      </c>
      <c r="I37" s="97" t="e">
        <f>-SUMIF(Budsjett!#REF!,Finansiering!#REF!,Budsjett!#REF!)-SUMIF(Budsjett!#REF!,Finansiering!#REF!,Budsjett!#REF!)</f>
        <v>#REF!</v>
      </c>
      <c r="J37" s="97" t="e">
        <f>-SUMIF(Budsjett!#REF!,Finansiering!#REF!,Budsjett!#REF!)-SUMIF(Budsjett!#REF!,Finansiering!#REF!,Budsjett!#REF!)</f>
        <v>#REF!</v>
      </c>
      <c r="K37" s="97" t="e">
        <f>-SUMIF(Budsjett!#REF!,Finansiering!#REF!,Budsjett!#REF!)-SUMIF(Budsjett!#REF!,Finansiering!#REF!,Budsjett!#REF!)</f>
        <v>#REF!</v>
      </c>
      <c r="L37" s="97" t="e">
        <f>-SUMIF(Budsjett!#REF!,Finansiering!#REF!,Budsjett!#REF!)-SUMIF(Budsjett!#REF!,Finansiering!#REF!,Budsjett!#REF!)</f>
        <v>#REF!</v>
      </c>
      <c r="M37" s="97" t="e">
        <f t="shared" si="9"/>
        <v>#REF!</v>
      </c>
      <c r="N37" s="91" t="e">
        <f t="shared" si="10"/>
        <v>#REF!</v>
      </c>
    </row>
    <row r="38" spans="2:14" ht="15" x14ac:dyDescent="0.25">
      <c r="B38" s="31" t="s">
        <v>211</v>
      </c>
      <c r="C38" s="92" t="e">
        <f t="shared" ref="C38:M38" si="11">SUM(C31:C37)</f>
        <v>#REF!</v>
      </c>
      <c r="D38" s="92" t="e">
        <f t="shared" si="11"/>
        <v>#REF!</v>
      </c>
      <c r="E38" s="92" t="e">
        <f t="shared" si="11"/>
        <v>#REF!</v>
      </c>
      <c r="F38" s="92" t="e">
        <f t="shared" si="11"/>
        <v>#REF!</v>
      </c>
      <c r="G38" s="92" t="e">
        <f t="shared" si="11"/>
        <v>#REF!</v>
      </c>
      <c r="H38" s="92" t="e">
        <f t="shared" si="11"/>
        <v>#REF!</v>
      </c>
      <c r="I38" s="92" t="e">
        <f t="shared" si="11"/>
        <v>#REF!</v>
      </c>
      <c r="J38" s="92" t="e">
        <f t="shared" si="11"/>
        <v>#REF!</v>
      </c>
      <c r="K38" s="92" t="e">
        <f t="shared" si="11"/>
        <v>#REF!</v>
      </c>
      <c r="L38" s="92" t="e">
        <f t="shared" si="11"/>
        <v>#REF!</v>
      </c>
      <c r="M38" s="92" t="e">
        <f t="shared" si="11"/>
        <v>#REF!</v>
      </c>
      <c r="N38" s="92" t="e">
        <f>SUM(N31:N37)</f>
        <v>#REF!</v>
      </c>
    </row>
    <row r="39" spans="2:14" x14ac:dyDescent="0.2">
      <c r="B39" t="s">
        <v>185</v>
      </c>
      <c r="C39" s="91" t="e">
        <f>-Budsjett!#REF!-Budsjett!#REF!</f>
        <v>#REF!</v>
      </c>
      <c r="D39" s="91" t="e">
        <f>-Budsjett!#REF!-Budsjett!#REF!</f>
        <v>#REF!</v>
      </c>
      <c r="E39" s="91" t="e">
        <f>-Budsjett!#REF!-Budsjett!#REF!</f>
        <v>#REF!</v>
      </c>
      <c r="F39" s="91" t="e">
        <f>-Budsjett!#REF!-Budsjett!#REF!</f>
        <v>#REF!</v>
      </c>
      <c r="G39" s="91" t="e">
        <f>-Budsjett!#REF!-Budsjett!#REF!</f>
        <v>#REF!</v>
      </c>
      <c r="H39" s="91" t="e">
        <f>-Budsjett!#REF!-Budsjett!#REF!</f>
        <v>#REF!</v>
      </c>
      <c r="I39" s="91" t="e">
        <f>-Budsjett!#REF!-Budsjett!#REF!</f>
        <v>#REF!</v>
      </c>
      <c r="J39" s="91" t="e">
        <f>-Budsjett!#REF!-Budsjett!#REF!</f>
        <v>#REF!</v>
      </c>
      <c r="K39" s="91" t="e">
        <f>-Budsjett!#REF!-Budsjett!#REF!</f>
        <v>#REF!</v>
      </c>
      <c r="L39" s="91" t="e">
        <f>-Budsjett!#REF!-Budsjett!#REF!</f>
        <v>#REF!</v>
      </c>
      <c r="M39" s="97" t="e">
        <f t="shared" si="9"/>
        <v>#REF!</v>
      </c>
      <c r="N39" s="91" t="e">
        <f>SUM(C39:L39)</f>
        <v>#REF!</v>
      </c>
    </row>
    <row r="40" spans="2:14" x14ac:dyDescent="0.2">
      <c r="B40" t="s">
        <v>186</v>
      </c>
      <c r="C40" s="91" t="e">
        <f>Budsjett!F42+Budsjett!#REF!</f>
        <v>#REF!</v>
      </c>
      <c r="D40" s="91" t="e">
        <f>Budsjett!G42+Budsjett!#REF!</f>
        <v>#REF!</v>
      </c>
      <c r="E40" s="91" t="e">
        <f>Budsjett!H42+Budsjett!#REF!</f>
        <v>#REF!</v>
      </c>
      <c r="F40" s="91" t="e">
        <f>Budsjett!I42+Budsjett!#REF!</f>
        <v>#REF!</v>
      </c>
      <c r="G40" s="91" t="e">
        <f>Budsjett!#REF!+Budsjett!#REF!</f>
        <v>#REF!</v>
      </c>
      <c r="H40" s="91" t="e">
        <f>Budsjett!#REF!+Budsjett!#REF!</f>
        <v>#REF!</v>
      </c>
      <c r="I40" s="91" t="e">
        <f>Budsjett!#REF!+Budsjett!#REF!</f>
        <v>#REF!</v>
      </c>
      <c r="J40" s="91" t="e">
        <f>Budsjett!#REF!+Budsjett!#REF!</f>
        <v>#REF!</v>
      </c>
      <c r="K40" s="91" t="e">
        <f>Budsjett!#REF!+Budsjett!#REF!</f>
        <v>#REF!</v>
      </c>
      <c r="L40" s="91" t="e">
        <f>Budsjett!#REF!+Budsjett!#REF!</f>
        <v>#REF!</v>
      </c>
      <c r="M40" s="91" t="e">
        <f>Budsjett!J41+Budsjett!J42+Budsjett!#REF!</f>
        <v>#REF!</v>
      </c>
      <c r="N40" s="91" t="e">
        <f>SUM(C40:L40)</f>
        <v>#REF!</v>
      </c>
    </row>
    <row r="41" spans="2:14" x14ac:dyDescent="0.2">
      <c r="B41" t="s">
        <v>187</v>
      </c>
      <c r="C41" s="91" t="e">
        <f>-SUM(Budsjett!#REF!)</f>
        <v>#REF!</v>
      </c>
      <c r="D41" s="91" t="e">
        <f>-SUM(Budsjett!#REF!)</f>
        <v>#REF!</v>
      </c>
      <c r="E41" s="91" t="e">
        <f>-SUM(Budsjett!#REF!)</f>
        <v>#REF!</v>
      </c>
      <c r="F41" s="91" t="e">
        <f>-SUM(Budsjett!#REF!)</f>
        <v>#REF!</v>
      </c>
      <c r="G41" s="91" t="e">
        <f>-SUM(Budsjett!#REF!)</f>
        <v>#REF!</v>
      </c>
      <c r="H41" s="91" t="e">
        <f>-SUM(Budsjett!#REF!)</f>
        <v>#REF!</v>
      </c>
      <c r="I41" s="91" t="e">
        <f>-SUM(Budsjett!#REF!)</f>
        <v>#REF!</v>
      </c>
      <c r="J41" s="91" t="e">
        <f>-SUM(Budsjett!#REF!)</f>
        <v>#REF!</v>
      </c>
      <c r="K41" s="91" t="e">
        <f>-SUM(Budsjett!#REF!)</f>
        <v>#REF!</v>
      </c>
      <c r="L41" s="91" t="e">
        <f>-SUM(Budsjett!#REF!)</f>
        <v>#REF!</v>
      </c>
      <c r="M41" s="97" t="e">
        <f t="shared" si="9"/>
        <v>#REF!</v>
      </c>
      <c r="N41" s="91" t="e">
        <f>SUM(C41:L41)</f>
        <v>#REF!</v>
      </c>
    </row>
    <row r="42" spans="2:14" ht="15" x14ac:dyDescent="0.25">
      <c r="B42" s="31" t="s">
        <v>201</v>
      </c>
      <c r="C42" s="92" t="e">
        <f>SUM(C38:C41)</f>
        <v>#REF!</v>
      </c>
      <c r="D42" s="92" t="e">
        <f t="shared" ref="D42:M42" si="12">SUM(D38:D41)</f>
        <v>#REF!</v>
      </c>
      <c r="E42" s="92" t="e">
        <f t="shared" si="12"/>
        <v>#REF!</v>
      </c>
      <c r="F42" s="92" t="e">
        <f t="shared" si="12"/>
        <v>#REF!</v>
      </c>
      <c r="G42" s="92" t="e">
        <f t="shared" si="12"/>
        <v>#REF!</v>
      </c>
      <c r="H42" s="92" t="e">
        <f t="shared" si="12"/>
        <v>#REF!</v>
      </c>
      <c r="I42" s="92" t="e">
        <f t="shared" si="12"/>
        <v>#REF!</v>
      </c>
      <c r="J42" s="92" t="e">
        <f t="shared" si="12"/>
        <v>#REF!</v>
      </c>
      <c r="K42" s="92" t="e">
        <f t="shared" si="12"/>
        <v>#REF!</v>
      </c>
      <c r="L42" s="92" t="e">
        <f t="shared" si="12"/>
        <v>#REF!</v>
      </c>
      <c r="M42" s="92" t="e">
        <f t="shared" si="12"/>
        <v>#REF!</v>
      </c>
      <c r="N42" s="92" t="e">
        <f>SUM(N38:N41)</f>
        <v>#REF!</v>
      </c>
    </row>
    <row r="43" spans="2:14" x14ac:dyDescent="0.2">
      <c r="B43" s="95" t="s">
        <v>212</v>
      </c>
      <c r="C43" s="96" t="e">
        <f>C42-C26</f>
        <v>#REF!</v>
      </c>
      <c r="D43" s="96" t="e">
        <f t="shared" ref="D43:N43" si="13">D42-D26</f>
        <v>#REF!</v>
      </c>
      <c r="E43" s="96" t="e">
        <f t="shared" si="13"/>
        <v>#REF!</v>
      </c>
      <c r="F43" s="96" t="e">
        <f t="shared" si="13"/>
        <v>#REF!</v>
      </c>
      <c r="G43" s="96" t="e">
        <f t="shared" si="13"/>
        <v>#REF!</v>
      </c>
      <c r="H43" s="96" t="e">
        <f t="shared" si="13"/>
        <v>#REF!</v>
      </c>
      <c r="I43" s="96" t="e">
        <f t="shared" si="13"/>
        <v>#REF!</v>
      </c>
      <c r="J43" s="96" t="e">
        <f t="shared" si="13"/>
        <v>#REF!</v>
      </c>
      <c r="K43" s="96" t="e">
        <f t="shared" si="13"/>
        <v>#REF!</v>
      </c>
      <c r="L43" s="96" t="e">
        <f t="shared" si="13"/>
        <v>#REF!</v>
      </c>
      <c r="M43" s="96"/>
      <c r="N43" s="96" t="e">
        <f t="shared" si="13"/>
        <v>#REF!</v>
      </c>
    </row>
    <row r="47" spans="2:14" x14ac:dyDescent="0.2">
      <c r="C47" s="96"/>
    </row>
  </sheetData>
  <sheetProtection password="FF04" sheet="1" objects="1" scenarios="1"/>
  <pageMargins left="0.7" right="0.7" top="0.75" bottom="0.75" header="0.3" footer="0.3"/>
  <pageSetup paperSize="9" scale="50"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tabColor rgb="FFFFFF00"/>
    <pageSetUpPr fitToPage="1"/>
  </sheetPr>
  <dimension ref="B1:O29"/>
  <sheetViews>
    <sheetView showGridLines="0" topLeftCell="A2" zoomScale="85" zoomScaleNormal="85" workbookViewId="0">
      <selection activeCell="C7" sqref="C7"/>
    </sheetView>
  </sheetViews>
  <sheetFormatPr defaultColWidth="9.140625" defaultRowHeight="15" x14ac:dyDescent="0.25"/>
  <cols>
    <col min="1" max="1" width="0.85546875" style="42" customWidth="1"/>
    <col min="2" max="2" width="30.85546875" style="42" customWidth="1"/>
    <col min="3" max="12" width="13.140625" style="42" customWidth="1"/>
    <col min="13" max="13" width="14" style="42" bestFit="1" customWidth="1"/>
    <col min="14" max="14" width="9.140625" style="42"/>
    <col min="15" max="15" width="9.5703125" style="42" bestFit="1" customWidth="1"/>
    <col min="16" max="16384" width="9.140625" style="42"/>
  </cols>
  <sheetData>
    <row r="1" spans="2:13" s="69" customFormat="1" x14ac:dyDescent="0.25">
      <c r="B1" s="81" t="s">
        <v>50</v>
      </c>
      <c r="C1" s="82" t="str">
        <f>IF(Registrering!$C$4="","",Registrering!$C$4)</f>
        <v/>
      </c>
      <c r="D1" s="357"/>
      <c r="E1" s="357"/>
      <c r="F1" s="357"/>
      <c r="G1" s="335"/>
      <c r="H1" s="335"/>
      <c r="I1" s="74"/>
      <c r="J1" s="83" t="s">
        <v>149</v>
      </c>
      <c r="K1" s="73" t="str">
        <f>IF(Registrering!$C$18="","na",Registrering!$C$18)</f>
        <v>na</v>
      </c>
      <c r="L1" s="335"/>
      <c r="M1" s="335" t="s">
        <v>150</v>
      </c>
    </row>
    <row r="2" spans="2:13" s="69" customFormat="1" x14ac:dyDescent="0.25">
      <c r="B2" s="80" t="s">
        <v>151</v>
      </c>
      <c r="C2" s="71" t="str">
        <f>IF(Registrering!C8="","na",Registrering!C8)</f>
        <v>na</v>
      </c>
      <c r="D2" s="357"/>
      <c r="E2" s="400"/>
      <c r="F2" s="400"/>
      <c r="G2" s="335"/>
      <c r="H2" s="335"/>
      <c r="I2" s="74"/>
      <c r="J2" s="83" t="s">
        <v>152</v>
      </c>
      <c r="K2" s="73" t="str">
        <f>IF(Registrering!$C$19="","na",Registrering!$C$19)</f>
        <v>na</v>
      </c>
      <c r="L2" s="335"/>
      <c r="M2" s="344"/>
    </row>
    <row r="3" spans="2:13" s="69" customFormat="1" x14ac:dyDescent="0.25">
      <c r="B3" s="80" t="s">
        <v>153</v>
      </c>
      <c r="C3" s="72" t="str">
        <f>IF(Registrering!$C$9="","na",Registrering!$C$9)</f>
        <v>na</v>
      </c>
      <c r="D3" s="357"/>
      <c r="E3" s="400"/>
      <c r="F3" s="357"/>
      <c r="G3" s="335"/>
      <c r="H3" s="370"/>
      <c r="I3" s="377"/>
      <c r="J3" s="378" t="s">
        <v>154</v>
      </c>
      <c r="K3" s="379" t="str">
        <f>Registrering!C27</f>
        <v>Prosjekter som foregår i UiOs lokaler</v>
      </c>
      <c r="L3" s="335"/>
      <c r="M3" s="335"/>
    </row>
    <row r="4" spans="2:13" s="69" customFormat="1" x14ac:dyDescent="0.25">
      <c r="B4" s="80" t="s">
        <v>155</v>
      </c>
      <c r="C4" s="357">
        <f>Registrering!C24</f>
        <v>0</v>
      </c>
      <c r="D4" s="357"/>
      <c r="E4" s="400"/>
      <c r="F4" s="357"/>
      <c r="G4" s="335"/>
      <c r="H4" s="370"/>
      <c r="I4" s="335"/>
      <c r="J4" s="378" t="s">
        <v>156</v>
      </c>
      <c r="K4" s="379" t="str">
        <f>Registrering!C26</f>
        <v>Fast beløp</v>
      </c>
      <c r="L4" s="335"/>
      <c r="M4" s="335"/>
    </row>
    <row r="5" spans="2:13" s="69" customFormat="1" x14ac:dyDescent="0.25">
      <c r="B5" s="370"/>
      <c r="C5" s="63"/>
      <c r="D5" s="335"/>
      <c r="E5" s="370"/>
      <c r="F5" s="335"/>
      <c r="G5" s="335"/>
      <c r="H5" s="335"/>
      <c r="I5" s="335"/>
      <c r="J5" s="335"/>
      <c r="K5" s="379" t="str">
        <f>Registrering!C25</f>
        <v>Kostnadsspesifikk</v>
      </c>
      <c r="L5" s="377"/>
      <c r="M5" s="335"/>
    </row>
    <row r="6" spans="2:13" x14ac:dyDescent="0.25">
      <c r="B6" s="370"/>
      <c r="C6" s="63"/>
      <c r="D6" s="335"/>
      <c r="E6" s="370"/>
      <c r="F6" s="335"/>
      <c r="G6" s="335"/>
      <c r="H6" s="335"/>
      <c r="I6" s="335"/>
      <c r="J6" s="335"/>
      <c r="K6" s="370"/>
      <c r="L6" s="335"/>
      <c r="M6" s="335"/>
    </row>
    <row r="7" spans="2:13" ht="45" x14ac:dyDescent="0.25">
      <c r="B7" s="79" t="s">
        <v>157</v>
      </c>
      <c r="C7" s="29" t="str">
        <f>Budsjett!F3</f>
        <v>Periode 1 (1-18 month)</v>
      </c>
      <c r="D7" s="29" t="str">
        <f>Budsjett!G3</f>
        <v>Periode 2 (19-36 month)</v>
      </c>
      <c r="E7" s="29" t="str">
        <f>Budsjett!H3</f>
        <v>Periode 3 (37-54 month)</v>
      </c>
      <c r="F7" s="29" t="str">
        <f>Budsjett!I3</f>
        <v>Periode 4 (55-60 (72) month)</v>
      </c>
      <c r="G7" s="29" t="e">
        <f>Budsjett!#REF!</f>
        <v>#REF!</v>
      </c>
      <c r="H7" s="29" t="e">
        <f>Budsjett!#REF!</f>
        <v>#REF!</v>
      </c>
      <c r="I7" s="29" t="e">
        <f>Budsjett!#REF!</f>
        <v>#REF!</v>
      </c>
      <c r="J7" s="29" t="e">
        <f>Budsjett!#REF!</f>
        <v>#REF!</v>
      </c>
      <c r="K7" s="29" t="e">
        <f>Budsjett!#REF!</f>
        <v>#REF!</v>
      </c>
      <c r="L7" s="29" t="e">
        <f>Budsjett!#REF!</f>
        <v>#REF!</v>
      </c>
      <c r="M7" s="29" t="s">
        <v>158</v>
      </c>
    </row>
    <row r="8" spans="2:13" x14ac:dyDescent="0.25">
      <c r="B8" s="381" t="s">
        <v>107</v>
      </c>
      <c r="C8" s="35">
        <f>Budsjett!F49</f>
        <v>0</v>
      </c>
      <c r="D8" s="35">
        <f>Budsjett!G49</f>
        <v>0</v>
      </c>
      <c r="E8" s="35">
        <f>Budsjett!H49</f>
        <v>0</v>
      </c>
      <c r="F8" s="35">
        <f>Budsjett!I49</f>
        <v>0</v>
      </c>
      <c r="G8" s="35" t="e">
        <f>Budsjett!#REF!</f>
        <v>#REF!</v>
      </c>
      <c r="H8" s="35" t="e">
        <f>Budsjett!#REF!</f>
        <v>#REF!</v>
      </c>
      <c r="I8" s="35" t="e">
        <f>Budsjett!#REF!</f>
        <v>#REF!</v>
      </c>
      <c r="J8" s="35" t="e">
        <f>Budsjett!#REF!</f>
        <v>#REF!</v>
      </c>
      <c r="K8" s="35" t="e">
        <f>Budsjett!#REF!</f>
        <v>#REF!</v>
      </c>
      <c r="L8" s="35" t="e">
        <f>Budsjett!#REF!</f>
        <v>#REF!</v>
      </c>
      <c r="M8" s="34" t="e">
        <f t="shared" ref="M8:M15" si="0">SUM(C8:L8)</f>
        <v>#REF!</v>
      </c>
    </row>
    <row r="9" spans="2:13" x14ac:dyDescent="0.25">
      <c r="B9" s="381" t="s">
        <v>159</v>
      </c>
      <c r="C9" s="35">
        <f>Budsjett!F45</f>
        <v>0</v>
      </c>
      <c r="D9" s="35">
        <f>Budsjett!G45</f>
        <v>0</v>
      </c>
      <c r="E9" s="35">
        <f>Budsjett!H45</f>
        <v>0</v>
      </c>
      <c r="F9" s="35">
        <f>Budsjett!I45</f>
        <v>0</v>
      </c>
      <c r="G9" s="35" t="e">
        <f>Budsjett!#REF!</f>
        <v>#REF!</v>
      </c>
      <c r="H9" s="35" t="e">
        <f>Budsjett!#REF!</f>
        <v>#REF!</v>
      </c>
      <c r="I9" s="35" t="e">
        <f>Budsjett!#REF!</f>
        <v>#REF!</v>
      </c>
      <c r="J9" s="35" t="e">
        <f>Budsjett!#REF!</f>
        <v>#REF!</v>
      </c>
      <c r="K9" s="35" t="e">
        <f>Budsjett!#REF!</f>
        <v>#REF!</v>
      </c>
      <c r="L9" s="35" t="e">
        <f>Budsjett!#REF!</f>
        <v>#REF!</v>
      </c>
      <c r="M9" s="34" t="e">
        <f t="shared" si="0"/>
        <v>#REF!</v>
      </c>
    </row>
    <row r="10" spans="2:13" x14ac:dyDescent="0.25">
      <c r="B10" s="381" t="s">
        <v>56</v>
      </c>
      <c r="C10" s="35">
        <f>Budsjett!F50</f>
        <v>0</v>
      </c>
      <c r="D10" s="35">
        <f>Budsjett!G50</f>
        <v>0</v>
      </c>
      <c r="E10" s="35">
        <f>Budsjett!H50</f>
        <v>0</v>
      </c>
      <c r="F10" s="35">
        <f>Budsjett!I50</f>
        <v>0</v>
      </c>
      <c r="G10" s="35" t="e">
        <f>Budsjett!#REF!</f>
        <v>#REF!</v>
      </c>
      <c r="H10" s="35" t="e">
        <f>Budsjett!#REF!</f>
        <v>#REF!</v>
      </c>
      <c r="I10" s="35" t="e">
        <f>Budsjett!#REF!</f>
        <v>#REF!</v>
      </c>
      <c r="J10" s="35" t="e">
        <f>Budsjett!#REF!</f>
        <v>#REF!</v>
      </c>
      <c r="K10" s="35" t="e">
        <f>Budsjett!#REF!</f>
        <v>#REF!</v>
      </c>
      <c r="L10" s="35" t="e">
        <f>Budsjett!#REF!</f>
        <v>#REF!</v>
      </c>
      <c r="M10" s="34" t="e">
        <f t="shared" si="0"/>
        <v>#REF!</v>
      </c>
    </row>
    <row r="11" spans="2:13" x14ac:dyDescent="0.25">
      <c r="B11" s="31" t="s">
        <v>160</v>
      </c>
      <c r="C11" s="32">
        <f>SUM(C8:C10)</f>
        <v>0</v>
      </c>
      <c r="D11" s="32">
        <f t="shared" ref="D11:L11" si="1">SUM(D8:D10)</f>
        <v>0</v>
      </c>
      <c r="E11" s="32">
        <f t="shared" si="1"/>
        <v>0</v>
      </c>
      <c r="F11" s="32">
        <f t="shared" si="1"/>
        <v>0</v>
      </c>
      <c r="G11" s="32" t="e">
        <f t="shared" si="1"/>
        <v>#REF!</v>
      </c>
      <c r="H11" s="32" t="e">
        <f t="shared" si="1"/>
        <v>#REF!</v>
      </c>
      <c r="I11" s="32" t="e">
        <f t="shared" si="1"/>
        <v>#REF!</v>
      </c>
      <c r="J11" s="32" t="e">
        <f t="shared" si="1"/>
        <v>#REF!</v>
      </c>
      <c r="K11" s="32" t="e">
        <f t="shared" si="1"/>
        <v>#REF!</v>
      </c>
      <c r="L11" s="32" t="e">
        <f t="shared" si="1"/>
        <v>#REF!</v>
      </c>
      <c r="M11" s="32" t="e">
        <f t="shared" si="0"/>
        <v>#REF!</v>
      </c>
    </row>
    <row r="12" spans="2:13" x14ac:dyDescent="0.25">
      <c r="B12" s="381" t="s">
        <v>161</v>
      </c>
      <c r="C12" s="35" t="e">
        <f>Budsjett!AL12+Budsjett!AL34+Budsjett!#REF!</f>
        <v>#REF!</v>
      </c>
      <c r="D12" s="35" t="e">
        <f>Budsjett!AM12+Budsjett!AM34+Budsjett!#REF!</f>
        <v>#REF!</v>
      </c>
      <c r="E12" s="35" t="e">
        <f>Budsjett!AN12+Budsjett!AN34+Budsjett!#REF!</f>
        <v>#REF!</v>
      </c>
      <c r="F12" s="35" t="e">
        <f>Budsjett!AO12+Budsjett!AO34+Budsjett!#REF!</f>
        <v>#REF!</v>
      </c>
      <c r="G12" s="35" t="e">
        <f>Budsjett!#REF!+Budsjett!#REF!+Budsjett!#REF!</f>
        <v>#REF!</v>
      </c>
      <c r="H12" s="35" t="e">
        <f>Budsjett!#REF!+Budsjett!#REF!+Budsjett!#REF!</f>
        <v>#REF!</v>
      </c>
      <c r="I12" s="35" t="e">
        <f>Budsjett!#REF!+Budsjett!#REF!+Budsjett!#REF!</f>
        <v>#REF!</v>
      </c>
      <c r="J12" s="35" t="e">
        <f>Budsjett!#REF!+Budsjett!#REF!+Budsjett!#REF!</f>
        <v>#REF!</v>
      </c>
      <c r="K12" s="35" t="e">
        <f>Budsjett!#REF!+Budsjett!#REF!+Budsjett!#REF!</f>
        <v>#REF!</v>
      </c>
      <c r="L12" s="35" t="e">
        <f>Budsjett!#REF!+Budsjett!#REF!+Budsjett!#REF!</f>
        <v>#REF!</v>
      </c>
      <c r="M12" s="34" t="e">
        <f t="shared" si="0"/>
        <v>#REF!</v>
      </c>
    </row>
    <row r="13" spans="2:13" x14ac:dyDescent="0.25">
      <c r="B13" s="381" t="s">
        <v>213</v>
      </c>
      <c r="C13" s="35">
        <f>Budsjett!AL20+Budsjett!AL28</f>
        <v>0</v>
      </c>
      <c r="D13" s="35">
        <f>Budsjett!AM20+Budsjett!AM28</f>
        <v>0</v>
      </c>
      <c r="E13" s="35">
        <f>Budsjett!AN20+Budsjett!AN28</f>
        <v>0</v>
      </c>
      <c r="F13" s="35">
        <f>Budsjett!AO20+Budsjett!AO28</f>
        <v>0</v>
      </c>
      <c r="G13" s="35" t="e">
        <f>Budsjett!#REF!+Budsjett!#REF!</f>
        <v>#REF!</v>
      </c>
      <c r="H13" s="35" t="e">
        <f>Budsjett!#REF!+Budsjett!#REF!</f>
        <v>#REF!</v>
      </c>
      <c r="I13" s="35" t="e">
        <f>Budsjett!#REF!+Budsjett!#REF!</f>
        <v>#REF!</v>
      </c>
      <c r="J13" s="35" t="e">
        <f>Budsjett!#REF!+Budsjett!#REF!</f>
        <v>#REF!</v>
      </c>
      <c r="K13" s="35" t="e">
        <f>Budsjett!#REF!+Budsjett!#REF!</f>
        <v>#REF!</v>
      </c>
      <c r="L13" s="35" t="e">
        <f>Budsjett!#REF!+Budsjett!#REF!</f>
        <v>#REF!</v>
      </c>
      <c r="M13" s="34" t="e">
        <f t="shared" si="0"/>
        <v>#REF!</v>
      </c>
    </row>
    <row r="14" spans="2:13" x14ac:dyDescent="0.25">
      <c r="B14" s="381" t="s">
        <v>71</v>
      </c>
      <c r="C14" s="35">
        <f>Budsjett!AW35+Budsjett!BC35</f>
        <v>0</v>
      </c>
      <c r="D14" s="35">
        <f>Budsjett!AX35+Budsjett!BD35</f>
        <v>0</v>
      </c>
      <c r="E14" s="35">
        <f>Budsjett!AY35+Budsjett!BE35</f>
        <v>0</v>
      </c>
      <c r="F14" s="35">
        <f>Budsjett!AZ35+Budsjett!BF35</f>
        <v>0</v>
      </c>
      <c r="G14" s="35" t="e">
        <f>Budsjett!#REF!+Budsjett!#REF!</f>
        <v>#REF!</v>
      </c>
      <c r="H14" s="35" t="e">
        <f>Budsjett!#REF!+Budsjett!#REF!</f>
        <v>#REF!</v>
      </c>
      <c r="I14" s="35" t="e">
        <f>Budsjett!#REF!+Budsjett!#REF!</f>
        <v>#REF!</v>
      </c>
      <c r="J14" s="35" t="e">
        <f>Budsjett!#REF!+Budsjett!#REF!</f>
        <v>#REF!</v>
      </c>
      <c r="K14" s="35" t="e">
        <f>Budsjett!#REF!+Budsjett!#REF!</f>
        <v>#REF!</v>
      </c>
      <c r="L14" s="35" t="e">
        <f>Budsjett!#REF!+Budsjett!#REF!</f>
        <v>#REF!</v>
      </c>
      <c r="M14" s="34" t="e">
        <f t="shared" si="0"/>
        <v>#REF!</v>
      </c>
    </row>
    <row r="15" spans="2:13" x14ac:dyDescent="0.25">
      <c r="B15" s="381" t="s">
        <v>166</v>
      </c>
      <c r="C15" s="35">
        <f>Budsjett!F46</f>
        <v>0</v>
      </c>
      <c r="D15" s="35">
        <f>Budsjett!G46</f>
        <v>0</v>
      </c>
      <c r="E15" s="35">
        <f>Budsjett!H46</f>
        <v>0</v>
      </c>
      <c r="F15" s="35">
        <f>Budsjett!I46</f>
        <v>0</v>
      </c>
      <c r="G15" s="35" t="e">
        <f>Budsjett!#REF!</f>
        <v>#REF!</v>
      </c>
      <c r="H15" s="35" t="e">
        <f>Budsjett!#REF!</f>
        <v>#REF!</v>
      </c>
      <c r="I15" s="35" t="e">
        <f>Budsjett!#REF!</f>
        <v>#REF!</v>
      </c>
      <c r="J15" s="35" t="e">
        <f>Budsjett!#REF!</f>
        <v>#REF!</v>
      </c>
      <c r="K15" s="35" t="e">
        <f>Budsjett!#REF!</f>
        <v>#REF!</v>
      </c>
      <c r="L15" s="35" t="e">
        <f>Budsjett!#REF!</f>
        <v>#REF!</v>
      </c>
      <c r="M15" s="34" t="e">
        <f t="shared" si="0"/>
        <v>#REF!</v>
      </c>
    </row>
    <row r="16" spans="2:13" x14ac:dyDescent="0.25">
      <c r="B16" s="381" t="s">
        <v>133</v>
      </c>
      <c r="C16" s="35">
        <f>Budsjett!F41+Budsjett!F42</f>
        <v>0</v>
      </c>
      <c r="D16" s="35">
        <f>Budsjett!G41+Budsjett!G42</f>
        <v>0</v>
      </c>
      <c r="E16" s="35">
        <f>Budsjett!H41+Budsjett!H42</f>
        <v>0</v>
      </c>
      <c r="F16" s="35">
        <f>Budsjett!I41+Budsjett!I42</f>
        <v>0</v>
      </c>
      <c r="G16" s="35" t="e">
        <f>Budsjett!#REF!+Budsjett!#REF!</f>
        <v>#REF!</v>
      </c>
      <c r="H16" s="35" t="e">
        <f>Budsjett!#REF!+Budsjett!#REF!</f>
        <v>#REF!</v>
      </c>
      <c r="I16" s="35" t="e">
        <f>Budsjett!#REF!+Budsjett!#REF!</f>
        <v>#REF!</v>
      </c>
      <c r="J16" s="35" t="e">
        <f>Budsjett!#REF!+Budsjett!#REF!</f>
        <v>#REF!</v>
      </c>
      <c r="K16" s="35" t="e">
        <f>Budsjett!#REF!+Budsjett!#REF!</f>
        <v>#REF!</v>
      </c>
      <c r="L16" s="35" t="e">
        <f>Budsjett!#REF!+Budsjett!#REF!</f>
        <v>#REF!</v>
      </c>
      <c r="M16" s="34" t="e">
        <f>SUM(C16:L16)</f>
        <v>#REF!</v>
      </c>
    </row>
    <row r="17" spans="2:15" x14ac:dyDescent="0.25">
      <c r="B17" s="381" t="s">
        <v>169</v>
      </c>
      <c r="C17" s="35" t="e">
        <f>Budsjett!#REF!+Budsjett!F38+Budsjett!F39+Budsjett!F40+Budsjett!F44</f>
        <v>#REF!</v>
      </c>
      <c r="D17" s="35" t="e">
        <f>Budsjett!#REF!+Budsjett!G38+Budsjett!G39+Budsjett!G40+Budsjett!G44</f>
        <v>#REF!</v>
      </c>
      <c r="E17" s="35" t="e">
        <f>Budsjett!#REF!+Budsjett!H38+Budsjett!H39+Budsjett!H40+Budsjett!H44</f>
        <v>#REF!</v>
      </c>
      <c r="F17" s="35" t="e">
        <f>Budsjett!#REF!+Budsjett!I38+Budsjett!I39+Budsjett!I40+Budsjett!I44</f>
        <v>#REF!</v>
      </c>
      <c r="G17" s="35" t="e">
        <f>Budsjett!#REF!+Budsjett!#REF!+Budsjett!#REF!+Budsjett!#REF!+Budsjett!#REF!</f>
        <v>#REF!</v>
      </c>
      <c r="H17" s="35" t="e">
        <f>Budsjett!#REF!+Budsjett!#REF!+Budsjett!#REF!+Budsjett!#REF!+Budsjett!#REF!</f>
        <v>#REF!</v>
      </c>
      <c r="I17" s="35" t="e">
        <f>Budsjett!#REF!+Budsjett!#REF!+Budsjett!#REF!+Budsjett!#REF!+Budsjett!#REF!</f>
        <v>#REF!</v>
      </c>
      <c r="J17" s="35" t="e">
        <f>Budsjett!#REF!+Budsjett!#REF!+Budsjett!#REF!+Budsjett!#REF!+Budsjett!#REF!</f>
        <v>#REF!</v>
      </c>
      <c r="K17" s="35" t="e">
        <f>Budsjett!#REF!+Budsjett!#REF!+Budsjett!#REF!+Budsjett!#REF!+Budsjett!#REF!</f>
        <v>#REF!</v>
      </c>
      <c r="L17" s="35" t="e">
        <f>Budsjett!#REF!+Budsjett!#REF!+Budsjett!#REF!+Budsjett!#REF!+Budsjett!#REF!</f>
        <v>#REF!</v>
      </c>
      <c r="M17" s="34" t="e">
        <f>SUM(C17:L17)</f>
        <v>#REF!</v>
      </c>
      <c r="N17" s="335"/>
      <c r="O17" s="335"/>
    </row>
    <row r="18" spans="2:15" x14ac:dyDescent="0.25">
      <c r="B18" s="31" t="s">
        <v>83</v>
      </c>
      <c r="C18" s="32" t="e">
        <f t="shared" ref="C18:L18" si="2">SUM(C12:C17)</f>
        <v>#REF!</v>
      </c>
      <c r="D18" s="32" t="e">
        <f t="shared" si="2"/>
        <v>#REF!</v>
      </c>
      <c r="E18" s="32" t="e">
        <f t="shared" si="2"/>
        <v>#REF!</v>
      </c>
      <c r="F18" s="32" t="e">
        <f t="shared" si="2"/>
        <v>#REF!</v>
      </c>
      <c r="G18" s="32" t="e">
        <f t="shared" si="2"/>
        <v>#REF!</v>
      </c>
      <c r="H18" s="32" t="e">
        <f t="shared" si="2"/>
        <v>#REF!</v>
      </c>
      <c r="I18" s="32" t="e">
        <f t="shared" si="2"/>
        <v>#REF!</v>
      </c>
      <c r="J18" s="32" t="e">
        <f t="shared" si="2"/>
        <v>#REF!</v>
      </c>
      <c r="K18" s="32" t="e">
        <f t="shared" si="2"/>
        <v>#REF!</v>
      </c>
      <c r="L18" s="32" t="e">
        <f t="shared" si="2"/>
        <v>#REF!</v>
      </c>
      <c r="M18" s="32" t="e">
        <f>SUM(C18:L18)</f>
        <v>#REF!</v>
      </c>
      <c r="N18" s="335"/>
      <c r="O18" s="335"/>
    </row>
    <row r="19" spans="2:15" x14ac:dyDescent="0.25">
      <c r="B19" s="31" t="s">
        <v>170</v>
      </c>
      <c r="C19" s="32" t="e">
        <f t="shared" ref="C19:M19" si="3">C18+C11</f>
        <v>#REF!</v>
      </c>
      <c r="D19" s="32" t="e">
        <f t="shared" si="3"/>
        <v>#REF!</v>
      </c>
      <c r="E19" s="32" t="e">
        <f t="shared" si="3"/>
        <v>#REF!</v>
      </c>
      <c r="F19" s="32" t="e">
        <f t="shared" si="3"/>
        <v>#REF!</v>
      </c>
      <c r="G19" s="32" t="e">
        <f t="shared" si="3"/>
        <v>#REF!</v>
      </c>
      <c r="H19" s="32" t="e">
        <f t="shared" si="3"/>
        <v>#REF!</v>
      </c>
      <c r="I19" s="32" t="e">
        <f t="shared" si="3"/>
        <v>#REF!</v>
      </c>
      <c r="J19" s="32" t="e">
        <f t="shared" si="3"/>
        <v>#REF!</v>
      </c>
      <c r="K19" s="32" t="e">
        <f t="shared" si="3"/>
        <v>#REF!</v>
      </c>
      <c r="L19" s="32" t="e">
        <f t="shared" si="3"/>
        <v>#REF!</v>
      </c>
      <c r="M19" s="32" t="e">
        <f t="shared" si="3"/>
        <v>#REF!</v>
      </c>
      <c r="N19" s="335"/>
      <c r="O19" s="335"/>
    </row>
    <row r="21" spans="2:15" x14ac:dyDescent="0.25">
      <c r="B21" s="30" t="s">
        <v>171</v>
      </c>
      <c r="C21" s="33">
        <f>C13+C14+C10+C16</f>
        <v>0</v>
      </c>
      <c r="D21" s="33">
        <f t="shared" ref="D21:M21" si="4">D13+D14+D10+D16</f>
        <v>0</v>
      </c>
      <c r="E21" s="33">
        <f t="shared" si="4"/>
        <v>0</v>
      </c>
      <c r="F21" s="33">
        <f t="shared" si="4"/>
        <v>0</v>
      </c>
      <c r="G21" s="33" t="e">
        <f t="shared" si="4"/>
        <v>#REF!</v>
      </c>
      <c r="H21" s="33" t="e">
        <f t="shared" si="4"/>
        <v>#REF!</v>
      </c>
      <c r="I21" s="33" t="e">
        <f t="shared" si="4"/>
        <v>#REF!</v>
      </c>
      <c r="J21" s="33" t="e">
        <f t="shared" si="4"/>
        <v>#REF!</v>
      </c>
      <c r="K21" s="33" t="e">
        <f t="shared" si="4"/>
        <v>#REF!</v>
      </c>
      <c r="L21" s="33" t="e">
        <f t="shared" si="4"/>
        <v>#REF!</v>
      </c>
      <c r="M21" s="33" t="e">
        <f t="shared" si="4"/>
        <v>#REF!</v>
      </c>
      <c r="N21" s="401"/>
      <c r="O21" s="335"/>
    </row>
    <row r="22" spans="2:15" x14ac:dyDescent="0.25">
      <c r="B22" s="20"/>
      <c r="C22" s="20"/>
      <c r="D22" s="335"/>
      <c r="E22" s="335"/>
      <c r="F22" s="335"/>
      <c r="G22" s="335"/>
      <c r="H22" s="335"/>
      <c r="I22" s="335"/>
      <c r="J22" s="335"/>
      <c r="K22" s="335"/>
      <c r="L22" s="335"/>
      <c r="M22" s="335"/>
      <c r="N22" s="335"/>
      <c r="O22" s="335"/>
    </row>
    <row r="23" spans="2:15" x14ac:dyDescent="0.25">
      <c r="B23" s="434" t="s">
        <v>173</v>
      </c>
      <c r="C23" s="425">
        <f>Registrering!C10</f>
        <v>0</v>
      </c>
      <c r="D23" s="426"/>
      <c r="E23" s="426"/>
      <c r="F23" s="426"/>
      <c r="G23" s="426"/>
      <c r="H23" s="426"/>
      <c r="I23" s="426"/>
      <c r="J23" s="427"/>
      <c r="K23" s="402"/>
      <c r="L23" s="403" t="s">
        <v>174</v>
      </c>
      <c r="M23" s="404" t="e">
        <f>Budsjett!#REF!</f>
        <v>#REF!</v>
      </c>
      <c r="N23" s="335"/>
      <c r="O23" s="335"/>
    </row>
    <row r="24" spans="2:15" x14ac:dyDescent="0.25">
      <c r="B24" s="435"/>
      <c r="C24" s="428"/>
      <c r="D24" s="429"/>
      <c r="E24" s="429"/>
      <c r="F24" s="429"/>
      <c r="G24" s="429"/>
      <c r="H24" s="429"/>
      <c r="I24" s="429"/>
      <c r="J24" s="430"/>
      <c r="K24" s="402"/>
      <c r="L24" s="403" t="s">
        <v>175</v>
      </c>
      <c r="M24" s="404" t="e">
        <f>Budsjett!#REF!</f>
        <v>#REF!</v>
      </c>
      <c r="N24" s="335"/>
      <c r="O24" s="335"/>
    </row>
    <row r="25" spans="2:15" ht="15" customHeight="1" x14ac:dyDescent="0.25">
      <c r="B25" s="436"/>
      <c r="C25" s="431"/>
      <c r="D25" s="432"/>
      <c r="E25" s="432"/>
      <c r="F25" s="432"/>
      <c r="G25" s="432"/>
      <c r="H25" s="432"/>
      <c r="I25" s="432"/>
      <c r="J25" s="433"/>
      <c r="K25" s="402"/>
      <c r="L25" s="403" t="s">
        <v>176</v>
      </c>
      <c r="M25" s="405">
        <f>IFERROR(-M10/SUM(M18:M18),0)</f>
        <v>0</v>
      </c>
      <c r="N25" s="124"/>
      <c r="O25" s="382"/>
    </row>
    <row r="26" spans="2:15" x14ac:dyDescent="0.25">
      <c r="B26" s="44" t="s">
        <v>177</v>
      </c>
      <c r="C26" s="335"/>
      <c r="D26" s="389"/>
      <c r="E26" s="335"/>
      <c r="F26" s="389"/>
      <c r="G26" s="389"/>
      <c r="H26" s="389"/>
      <c r="I26" s="389"/>
      <c r="J26" s="390"/>
      <c r="K26" s="370"/>
      <c r="L26" s="370"/>
      <c r="M26" s="370"/>
      <c r="N26" s="335"/>
      <c r="O26" s="382"/>
    </row>
    <row r="27" spans="2:15" ht="36" customHeight="1" x14ac:dyDescent="0.25">
      <c r="B27" s="423"/>
      <c r="C27" s="424"/>
      <c r="D27" s="391"/>
      <c r="E27" s="406"/>
      <c r="F27" s="407"/>
      <c r="G27" s="407"/>
      <c r="H27" s="407"/>
      <c r="I27" s="408"/>
      <c r="J27" s="391"/>
      <c r="K27" s="370"/>
      <c r="L27" s="370"/>
      <c r="M27" s="370"/>
      <c r="N27" s="335"/>
      <c r="O27" s="335"/>
    </row>
    <row r="28" spans="2:15" x14ac:dyDescent="0.25">
      <c r="B28" s="392" t="s">
        <v>178</v>
      </c>
      <c r="C28" s="393"/>
      <c r="D28" s="391" t="s">
        <v>179</v>
      </c>
      <c r="E28" s="394" t="s">
        <v>180</v>
      </c>
      <c r="F28" s="395"/>
      <c r="G28" s="396"/>
      <c r="H28" s="396"/>
      <c r="I28" s="397"/>
      <c r="J28" s="391" t="s">
        <v>179</v>
      </c>
      <c r="K28" s="370"/>
      <c r="L28" s="370"/>
      <c r="M28" s="370"/>
      <c r="N28" s="335"/>
      <c r="O28" s="335"/>
    </row>
    <row r="29" spans="2:15" x14ac:dyDescent="0.25">
      <c r="B29" s="392">
        <f>Registrering!C7</f>
        <v>0</v>
      </c>
      <c r="C29" s="393"/>
      <c r="D29" s="335"/>
      <c r="E29" s="398">
        <f>Registrering!C5</f>
        <v>0</v>
      </c>
      <c r="F29" s="390"/>
      <c r="G29" s="390"/>
      <c r="H29" s="390"/>
      <c r="I29" s="399"/>
      <c r="J29" s="391"/>
      <c r="K29" s="335"/>
      <c r="L29" s="335"/>
      <c r="M29" s="335"/>
      <c r="N29" s="335"/>
      <c r="O29" s="335"/>
    </row>
  </sheetData>
  <sheetProtection password="FF04" sheet="1" objects="1" scenarios="1"/>
  <mergeCells count="3">
    <mergeCell ref="B23:B25"/>
    <mergeCell ref="C23:J25"/>
    <mergeCell ref="B27:C27"/>
  </mergeCells>
  <conditionalFormatting sqref="M2">
    <cfRule type="expression" dxfId="11" priority="1" stopIfTrue="1">
      <formula>#REF!="NEI"</formula>
    </cfRule>
  </conditionalFormatting>
  <pageMargins left="0.43" right="0.22" top="0.35" bottom="0.36" header="0.31496062992125984" footer="0.23622047244094491"/>
  <pageSetup paperSize="9" scale="80" fitToHeight="0" orientation="landscape"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43"/>
  <sheetViews>
    <sheetView zoomScale="70" zoomScaleNormal="70" workbookViewId="0">
      <selection activeCell="H13" sqref="H13:J13"/>
    </sheetView>
  </sheetViews>
  <sheetFormatPr defaultColWidth="10.85546875" defaultRowHeight="15" x14ac:dyDescent="0.25"/>
  <cols>
    <col min="1" max="1" width="18.5703125" style="281" customWidth="1"/>
    <col min="2" max="11" width="10.85546875" style="281"/>
    <col min="12" max="12" width="15.5703125" style="281" customWidth="1"/>
    <col min="13" max="13" width="14.42578125" style="281" customWidth="1"/>
    <col min="14" max="14" width="10.85546875" style="281"/>
    <col min="15" max="15" width="17.42578125" style="281" customWidth="1"/>
    <col min="16" max="16" width="13.85546875" style="281" customWidth="1"/>
    <col min="17" max="16384" width="10.85546875" style="281"/>
  </cols>
  <sheetData>
    <row r="1" spans="1:18" ht="29.25" customHeight="1" thickBot="1" x14ac:dyDescent="0.3">
      <c r="C1" s="440" t="s">
        <v>214</v>
      </c>
      <c r="D1" s="441"/>
      <c r="E1" s="441"/>
      <c r="F1" s="441"/>
      <c r="G1" s="441"/>
      <c r="H1" s="441"/>
      <c r="I1" s="441"/>
      <c r="J1" s="442"/>
      <c r="K1" s="443" t="s">
        <v>215</v>
      </c>
      <c r="L1" s="444"/>
      <c r="M1" s="444"/>
      <c r="N1" s="444"/>
      <c r="O1" s="444"/>
      <c r="P1" s="444"/>
      <c r="Q1" s="445"/>
    </row>
    <row r="2" spans="1:18" ht="29.25" customHeight="1" thickBot="1" x14ac:dyDescent="0.3">
      <c r="C2" s="446" t="s">
        <v>216</v>
      </c>
      <c r="D2" s="444"/>
      <c r="E2" s="444"/>
      <c r="F2" s="444"/>
      <c r="G2" s="444"/>
      <c r="H2" s="444"/>
      <c r="I2" s="444"/>
      <c r="J2" s="445"/>
      <c r="K2" s="447" t="s">
        <v>217</v>
      </c>
      <c r="L2" s="448"/>
      <c r="M2" s="449"/>
      <c r="N2" s="450" t="s">
        <v>218</v>
      </c>
      <c r="O2" s="452" t="s">
        <v>219</v>
      </c>
      <c r="P2" s="453"/>
      <c r="Q2" s="456" t="s">
        <v>220</v>
      </c>
    </row>
    <row r="3" spans="1:18" ht="45.75" customHeight="1" thickBot="1" x14ac:dyDescent="0.3">
      <c r="C3" s="458" t="s">
        <v>221</v>
      </c>
      <c r="D3" s="459" t="s">
        <v>222</v>
      </c>
      <c r="E3" s="461" t="s">
        <v>223</v>
      </c>
      <c r="F3" s="462"/>
      <c r="G3" s="463"/>
      <c r="H3" s="287" t="s">
        <v>224</v>
      </c>
      <c r="I3" s="470" t="s">
        <v>225</v>
      </c>
      <c r="J3" s="459" t="s">
        <v>226</v>
      </c>
      <c r="K3" s="472" t="s">
        <v>227</v>
      </c>
      <c r="L3" s="473"/>
      <c r="M3" s="474"/>
      <c r="N3" s="451"/>
      <c r="O3" s="454"/>
      <c r="P3" s="455"/>
      <c r="Q3" s="457"/>
    </row>
    <row r="4" spans="1:18" ht="15" customHeight="1" x14ac:dyDescent="0.25">
      <c r="A4" s="475" t="s">
        <v>228</v>
      </c>
      <c r="B4" s="477" t="s">
        <v>229</v>
      </c>
      <c r="C4" s="458"/>
      <c r="D4" s="460"/>
      <c r="E4" s="479" t="s">
        <v>230</v>
      </c>
      <c r="F4" s="482" t="s">
        <v>231</v>
      </c>
      <c r="G4" s="485" t="s">
        <v>232</v>
      </c>
      <c r="H4" s="488" t="s">
        <v>233</v>
      </c>
      <c r="I4" s="471"/>
      <c r="J4" s="460"/>
      <c r="K4" s="491" t="s">
        <v>234</v>
      </c>
      <c r="L4" s="492" t="s">
        <v>235</v>
      </c>
      <c r="M4" s="493" t="s">
        <v>236</v>
      </c>
      <c r="N4" s="464" t="s">
        <v>237</v>
      </c>
      <c r="O4" s="467" t="s">
        <v>238</v>
      </c>
      <c r="P4" s="468" t="s">
        <v>239</v>
      </c>
      <c r="Q4" s="457"/>
      <c r="R4" s="288"/>
    </row>
    <row r="5" spans="1:18" x14ac:dyDescent="0.25">
      <c r="A5" s="475"/>
      <c r="B5" s="477"/>
      <c r="C5" s="458"/>
      <c r="D5" s="460"/>
      <c r="E5" s="480"/>
      <c r="F5" s="483"/>
      <c r="G5" s="486"/>
      <c r="H5" s="489"/>
      <c r="I5" s="471"/>
      <c r="J5" s="460"/>
      <c r="K5" s="480"/>
      <c r="L5" s="483"/>
      <c r="M5" s="494"/>
      <c r="N5" s="465"/>
      <c r="O5" s="467"/>
      <c r="P5" s="468"/>
      <c r="Q5" s="457"/>
      <c r="R5" s="288"/>
    </row>
    <row r="6" spans="1:18" x14ac:dyDescent="0.25">
      <c r="A6" s="475"/>
      <c r="B6" s="477"/>
      <c r="C6" s="458"/>
      <c r="D6" s="460"/>
      <c r="E6" s="480"/>
      <c r="F6" s="483"/>
      <c r="G6" s="486"/>
      <c r="H6" s="489"/>
      <c r="I6" s="471"/>
      <c r="J6" s="460"/>
      <c r="K6" s="480"/>
      <c r="L6" s="483"/>
      <c r="M6" s="494"/>
      <c r="N6" s="465"/>
      <c r="O6" s="467"/>
      <c r="P6" s="468"/>
      <c r="Q6" s="457"/>
      <c r="R6" s="288"/>
    </row>
    <row r="7" spans="1:18" x14ac:dyDescent="0.25">
      <c r="A7" s="475"/>
      <c r="B7" s="477"/>
      <c r="C7" s="458"/>
      <c r="D7" s="460"/>
      <c r="E7" s="480"/>
      <c r="F7" s="483"/>
      <c r="G7" s="486"/>
      <c r="H7" s="489"/>
      <c r="I7" s="471"/>
      <c r="J7" s="460"/>
      <c r="K7" s="480"/>
      <c r="L7" s="483"/>
      <c r="M7" s="494"/>
      <c r="N7" s="465"/>
      <c r="O7" s="467"/>
      <c r="P7" s="468"/>
      <c r="Q7" s="457"/>
      <c r="R7" s="288"/>
    </row>
    <row r="8" spans="1:18" x14ac:dyDescent="0.25">
      <c r="A8" s="475"/>
      <c r="B8" s="477"/>
      <c r="C8" s="458"/>
      <c r="D8" s="460"/>
      <c r="E8" s="480"/>
      <c r="F8" s="483"/>
      <c r="G8" s="486"/>
      <c r="H8" s="489"/>
      <c r="I8" s="471"/>
      <c r="J8" s="460"/>
      <c r="K8" s="480"/>
      <c r="L8" s="483"/>
      <c r="M8" s="494"/>
      <c r="N8" s="465"/>
      <c r="O8" s="467"/>
      <c r="P8" s="468"/>
      <c r="Q8" s="457"/>
      <c r="R8" s="288"/>
    </row>
    <row r="9" spans="1:18" x14ac:dyDescent="0.25">
      <c r="A9" s="475"/>
      <c r="B9" s="477"/>
      <c r="C9" s="458"/>
      <c r="D9" s="460"/>
      <c r="E9" s="480"/>
      <c r="F9" s="483"/>
      <c r="G9" s="486"/>
      <c r="H9" s="489"/>
      <c r="I9" s="471"/>
      <c r="J9" s="460"/>
      <c r="K9" s="480"/>
      <c r="L9" s="483"/>
      <c r="M9" s="494"/>
      <c r="N9" s="465"/>
      <c r="O9" s="467"/>
      <c r="P9" s="468"/>
      <c r="Q9" s="457"/>
      <c r="R9" s="288"/>
    </row>
    <row r="10" spans="1:18" x14ac:dyDescent="0.25">
      <c r="A10" s="475"/>
      <c r="B10" s="477"/>
      <c r="C10" s="458"/>
      <c r="D10" s="460"/>
      <c r="E10" s="480"/>
      <c r="F10" s="483"/>
      <c r="G10" s="486"/>
      <c r="H10" s="489"/>
      <c r="I10" s="471"/>
      <c r="J10" s="460"/>
      <c r="K10" s="480"/>
      <c r="L10" s="483"/>
      <c r="M10" s="494"/>
      <c r="N10" s="465"/>
      <c r="O10" s="467"/>
      <c r="P10" s="468"/>
      <c r="Q10" s="457"/>
      <c r="R10" s="288"/>
    </row>
    <row r="11" spans="1:18" x14ac:dyDescent="0.25">
      <c r="A11" s="475"/>
      <c r="B11" s="477"/>
      <c r="C11" s="458"/>
      <c r="D11" s="460"/>
      <c r="E11" s="480"/>
      <c r="F11" s="483"/>
      <c r="G11" s="486"/>
      <c r="H11" s="489"/>
      <c r="I11" s="471"/>
      <c r="J11" s="460"/>
      <c r="K11" s="480"/>
      <c r="L11" s="483"/>
      <c r="M11" s="494"/>
      <c r="N11" s="465"/>
      <c r="O11" s="467"/>
      <c r="P11" s="468"/>
      <c r="Q11" s="457"/>
      <c r="R11" s="288"/>
    </row>
    <row r="12" spans="1:18" x14ac:dyDescent="0.25">
      <c r="A12" s="476"/>
      <c r="B12" s="478"/>
      <c r="C12" s="458"/>
      <c r="D12" s="460"/>
      <c r="E12" s="481"/>
      <c r="F12" s="484"/>
      <c r="G12" s="487"/>
      <c r="H12" s="490"/>
      <c r="I12" s="471"/>
      <c r="J12" s="460"/>
      <c r="K12" s="481"/>
      <c r="L12" s="484"/>
      <c r="M12" s="495"/>
      <c r="N12" s="466"/>
      <c r="O12" s="467"/>
      <c r="P12" s="468"/>
      <c r="Q12" s="457"/>
      <c r="R12" s="288"/>
    </row>
    <row r="13" spans="1:18" x14ac:dyDescent="0.25">
      <c r="A13" s="289" t="s">
        <v>240</v>
      </c>
      <c r="B13" s="289" t="s">
        <v>241</v>
      </c>
      <c r="C13" s="290">
        <f>(Budsjett!K12+Budsjett!K20+Budsjett!K34)/Registrering!C23</f>
        <v>0</v>
      </c>
      <c r="D13" s="290">
        <f>Budsjett!M44/Registrering!C23</f>
        <v>0</v>
      </c>
      <c r="E13" s="290">
        <f>Budsjett!M39/Registrering!C23</f>
        <v>0</v>
      </c>
      <c r="F13" s="291">
        <f>Budsjett!M46/Registrering!C23</f>
        <v>0</v>
      </c>
      <c r="G13" s="290">
        <f>(Budsjett!M40+Budsjett!M38+Budsjett!M43)/Registrering!C23</f>
        <v>0</v>
      </c>
      <c r="H13" s="290">
        <f>'D. Other cost categories (prop)'!C14+'D. Other cost categories (prop)'!D14+'D. Other cost categories (prop)'!E14+'D. Other cost categories (prop)'!F14+'D. Other cost categories (prop)'!G14+'D. Other cost categories (prop)'!H14+'D. Other cost categories (prop)'!I14+'D. Other cost categories (prop)'!J14</f>
        <v>0</v>
      </c>
      <c r="I13" s="291">
        <f>(C13+E13+F13+G13+'D. Other cost categories (prop)'!I14)*0.25</f>
        <v>0</v>
      </c>
      <c r="J13" s="292">
        <f>C13+D13+E13+F13+G13+H13+I13</f>
        <v>0</v>
      </c>
      <c r="K13" s="293">
        <v>1</v>
      </c>
      <c r="L13" s="292">
        <f>J13*K13</f>
        <v>0</v>
      </c>
      <c r="M13" s="303"/>
      <c r="N13" s="294"/>
      <c r="O13" s="294"/>
      <c r="P13" s="294"/>
      <c r="Q13" s="286">
        <f>M13+N13+O13+P13</f>
        <v>0</v>
      </c>
    </row>
    <row r="14" spans="1:18" x14ac:dyDescent="0.25">
      <c r="A14" s="324" t="s">
        <v>242</v>
      </c>
      <c r="B14" s="324"/>
      <c r="C14" s="324"/>
      <c r="D14" s="324"/>
      <c r="E14" s="324"/>
      <c r="F14" s="324"/>
      <c r="G14" s="324"/>
      <c r="H14" s="324"/>
      <c r="I14" s="324"/>
      <c r="J14" s="324"/>
      <c r="K14" s="324"/>
      <c r="L14" s="324"/>
      <c r="M14" s="324"/>
      <c r="N14" s="324"/>
      <c r="O14" s="324"/>
      <c r="P14" s="324"/>
      <c r="Q14" s="324"/>
    </row>
    <row r="15" spans="1:18" x14ac:dyDescent="0.25">
      <c r="A15" s="324" t="s">
        <v>243</v>
      </c>
      <c r="B15" s="324"/>
      <c r="C15" s="324"/>
      <c r="D15" s="324"/>
      <c r="E15" s="324"/>
      <c r="F15" s="324"/>
      <c r="G15" s="324"/>
      <c r="H15" s="324"/>
      <c r="I15" s="324"/>
      <c r="J15" s="324"/>
      <c r="K15" s="324"/>
      <c r="L15" s="324"/>
      <c r="M15" s="324"/>
      <c r="N15" s="324"/>
      <c r="O15" s="324"/>
      <c r="P15" s="324"/>
      <c r="Q15" s="324"/>
    </row>
    <row r="16" spans="1:18" x14ac:dyDescent="0.25">
      <c r="A16" s="324" t="s">
        <v>244</v>
      </c>
      <c r="B16" s="324"/>
      <c r="C16" s="324"/>
      <c r="D16" s="324"/>
      <c r="E16" s="324"/>
      <c r="F16" s="324"/>
      <c r="G16" s="324"/>
      <c r="H16" s="324"/>
      <c r="I16" s="324"/>
      <c r="J16" s="324"/>
      <c r="K16" s="324"/>
      <c r="L16" s="324"/>
      <c r="M16" s="324"/>
      <c r="N16" s="324"/>
      <c r="O16" s="324"/>
      <c r="P16" s="324"/>
      <c r="Q16" s="324"/>
    </row>
    <row r="17" spans="1:17" x14ac:dyDescent="0.25">
      <c r="A17" s="324" t="s">
        <v>245</v>
      </c>
      <c r="B17" s="324"/>
      <c r="C17" s="324"/>
      <c r="D17" s="324"/>
      <c r="E17" s="324"/>
      <c r="F17" s="324"/>
      <c r="G17" s="324"/>
      <c r="H17" s="324"/>
      <c r="I17" s="324"/>
      <c r="J17" s="324"/>
      <c r="K17" s="324"/>
      <c r="L17" s="324"/>
      <c r="M17" s="324"/>
      <c r="N17" s="324"/>
      <c r="O17" s="324"/>
      <c r="P17" s="324"/>
      <c r="Q17" s="324"/>
    </row>
    <row r="18" spans="1:17" x14ac:dyDescent="0.25">
      <c r="A18" s="324" t="s">
        <v>246</v>
      </c>
      <c r="B18" s="324"/>
      <c r="C18" s="324"/>
      <c r="D18" s="324"/>
      <c r="E18" s="324"/>
      <c r="F18" s="324"/>
      <c r="G18" s="324"/>
      <c r="H18" s="324"/>
      <c r="I18" s="409"/>
      <c r="J18" s="324"/>
      <c r="K18" s="324"/>
      <c r="L18" s="324"/>
      <c r="M18" s="324"/>
      <c r="N18" s="324"/>
      <c r="O18" s="324"/>
      <c r="P18" s="324"/>
      <c r="Q18" s="324"/>
    </row>
    <row r="19" spans="1:17" x14ac:dyDescent="0.25">
      <c r="A19" s="324" t="s">
        <v>247</v>
      </c>
      <c r="B19" s="324"/>
      <c r="C19" s="324"/>
      <c r="D19" s="324"/>
      <c r="E19" s="324"/>
      <c r="F19" s="324"/>
      <c r="G19" s="324"/>
      <c r="H19" s="324"/>
      <c r="I19" s="324"/>
      <c r="J19" s="324"/>
      <c r="K19" s="324"/>
      <c r="L19" s="324"/>
      <c r="M19" s="324"/>
      <c r="N19" s="324"/>
      <c r="O19" s="324"/>
      <c r="P19" s="324"/>
      <c r="Q19" s="324"/>
    </row>
    <row r="20" spans="1:17" x14ac:dyDescent="0.25">
      <c r="A20" s="324" t="s">
        <v>248</v>
      </c>
      <c r="B20" s="324"/>
      <c r="C20" s="324"/>
      <c r="D20" s="324"/>
      <c r="E20" s="324"/>
      <c r="F20" s="324"/>
      <c r="G20" s="324"/>
      <c r="H20" s="324"/>
      <c r="I20" s="324"/>
      <c r="J20" s="324"/>
      <c r="K20" s="324"/>
      <c r="L20" s="324"/>
      <c r="M20" s="324"/>
      <c r="N20" s="324"/>
      <c r="O20" s="324"/>
      <c r="P20" s="324"/>
      <c r="Q20" s="324"/>
    </row>
    <row r="21" spans="1:17" x14ac:dyDescent="0.25">
      <c r="A21" s="324" t="s">
        <v>249</v>
      </c>
      <c r="B21" s="324"/>
      <c r="C21" s="324"/>
      <c r="D21" s="324"/>
      <c r="E21" s="324"/>
      <c r="F21" s="324"/>
      <c r="G21" s="324"/>
      <c r="H21" s="324"/>
      <c r="I21" s="324"/>
      <c r="J21" s="324"/>
      <c r="K21" s="324"/>
      <c r="L21" s="324"/>
      <c r="M21" s="324"/>
      <c r="N21" s="324"/>
      <c r="O21" s="324"/>
      <c r="P21" s="324"/>
      <c r="Q21" s="324"/>
    </row>
    <row r="22" spans="1:17" x14ac:dyDescent="0.25">
      <c r="A22" s="324" t="s">
        <v>250</v>
      </c>
      <c r="B22" s="324"/>
      <c r="C22" s="324"/>
      <c r="D22" s="324"/>
      <c r="E22" s="324"/>
      <c r="F22" s="324"/>
      <c r="G22" s="324"/>
      <c r="H22" s="324"/>
      <c r="I22" s="324"/>
      <c r="J22" s="324"/>
      <c r="K22" s="324"/>
      <c r="L22" s="324"/>
      <c r="M22" s="324"/>
      <c r="N22" s="324"/>
      <c r="O22" s="324"/>
      <c r="P22" s="324"/>
      <c r="Q22" s="324"/>
    </row>
    <row r="23" spans="1:17" x14ac:dyDescent="0.25">
      <c r="A23" s="324" t="s">
        <v>251</v>
      </c>
      <c r="B23" s="324"/>
      <c r="C23" s="324"/>
      <c r="D23" s="324"/>
      <c r="E23" s="324"/>
      <c r="F23" s="324"/>
      <c r="G23" s="324"/>
      <c r="H23" s="324"/>
      <c r="I23" s="324"/>
      <c r="J23" s="324"/>
      <c r="K23" s="324"/>
      <c r="L23" s="324"/>
      <c r="M23" s="324"/>
      <c r="N23" s="324"/>
      <c r="O23" s="324"/>
      <c r="P23" s="324"/>
      <c r="Q23" s="324"/>
    </row>
    <row r="24" spans="1:17" x14ac:dyDescent="0.25">
      <c r="A24" s="324" t="s">
        <v>252</v>
      </c>
      <c r="B24" s="324"/>
      <c r="C24" s="324"/>
      <c r="D24" s="324"/>
      <c r="E24" s="324"/>
      <c r="F24" s="324"/>
      <c r="G24" s="324"/>
      <c r="H24" s="324"/>
      <c r="I24" s="324"/>
      <c r="J24" s="324"/>
      <c r="K24" s="324"/>
      <c r="L24" s="324"/>
      <c r="M24" s="324"/>
      <c r="N24" s="324"/>
      <c r="O24" s="324"/>
      <c r="P24" s="324"/>
      <c r="Q24" s="324"/>
    </row>
    <row r="25" spans="1:17" x14ac:dyDescent="0.25">
      <c r="A25" s="324" t="s">
        <v>253</v>
      </c>
      <c r="B25" s="324"/>
      <c r="C25" s="324"/>
      <c r="D25" s="324"/>
      <c r="E25" s="324"/>
      <c r="F25" s="324"/>
      <c r="G25" s="324"/>
      <c r="H25" s="324"/>
      <c r="I25" s="324"/>
      <c r="J25" s="324"/>
      <c r="K25" s="324"/>
      <c r="L25" s="324"/>
      <c r="M25" s="324"/>
      <c r="N25" s="324"/>
      <c r="O25" s="324"/>
      <c r="P25" s="324"/>
      <c r="Q25" s="324"/>
    </row>
    <row r="26" spans="1:17" x14ac:dyDescent="0.25">
      <c r="A26" s="324" t="s">
        <v>254</v>
      </c>
      <c r="B26" s="324"/>
      <c r="C26" s="324"/>
      <c r="D26" s="324"/>
      <c r="E26" s="324"/>
      <c r="F26" s="324"/>
      <c r="G26" s="324"/>
      <c r="H26" s="324"/>
      <c r="I26" s="324"/>
      <c r="J26" s="324"/>
      <c r="K26" s="324"/>
      <c r="L26" s="324"/>
      <c r="M26" s="324"/>
      <c r="N26" s="324"/>
      <c r="O26" s="324"/>
      <c r="P26" s="324"/>
      <c r="Q26" s="324"/>
    </row>
    <row r="27" spans="1:17" x14ac:dyDescent="0.25">
      <c r="A27" s="324" t="s">
        <v>255</v>
      </c>
      <c r="B27" s="324"/>
      <c r="C27" s="324"/>
      <c r="D27" s="324"/>
      <c r="E27" s="324"/>
      <c r="F27" s="324"/>
      <c r="G27" s="324"/>
      <c r="H27" s="324"/>
      <c r="I27" s="324"/>
      <c r="J27" s="324"/>
      <c r="K27" s="324"/>
      <c r="L27" s="324"/>
      <c r="M27" s="324"/>
      <c r="N27" s="324"/>
      <c r="O27" s="324"/>
      <c r="P27" s="324"/>
      <c r="Q27" s="324"/>
    </row>
    <row r="28" spans="1:17" x14ac:dyDescent="0.25">
      <c r="A28" s="324" t="s">
        <v>256</v>
      </c>
      <c r="B28" s="324"/>
      <c r="C28" s="324"/>
      <c r="D28" s="324"/>
      <c r="E28" s="324"/>
      <c r="F28" s="324"/>
      <c r="G28" s="324"/>
      <c r="H28" s="324"/>
      <c r="I28" s="324"/>
      <c r="J28" s="324"/>
      <c r="K28" s="324"/>
      <c r="L28" s="324"/>
      <c r="M28" s="324"/>
      <c r="N28" s="324"/>
      <c r="O28" s="324"/>
      <c r="P28" s="324"/>
      <c r="Q28" s="324"/>
    </row>
    <row r="29" spans="1:17" x14ac:dyDescent="0.25">
      <c r="A29" s="324" t="s">
        <v>257</v>
      </c>
      <c r="B29" s="324"/>
      <c r="C29" s="324"/>
      <c r="D29" s="324"/>
      <c r="E29" s="324"/>
      <c r="F29" s="324"/>
      <c r="G29" s="324"/>
      <c r="H29" s="324"/>
      <c r="I29" s="324"/>
      <c r="J29" s="324"/>
      <c r="K29" s="324"/>
      <c r="L29" s="324"/>
      <c r="M29" s="324"/>
      <c r="N29" s="324"/>
      <c r="O29" s="324"/>
      <c r="P29" s="324"/>
      <c r="Q29" s="324"/>
    </row>
    <row r="30" spans="1:17" x14ac:dyDescent="0.25">
      <c r="A30" s="324" t="s">
        <v>258</v>
      </c>
      <c r="B30" s="324"/>
      <c r="C30" s="324"/>
      <c r="D30" s="324"/>
      <c r="E30" s="324"/>
      <c r="F30" s="324"/>
      <c r="G30" s="324"/>
      <c r="H30" s="324"/>
      <c r="I30" s="324"/>
      <c r="J30" s="324"/>
      <c r="K30" s="324"/>
      <c r="L30" s="324"/>
      <c r="M30" s="324"/>
      <c r="N30" s="324"/>
      <c r="O30" s="324"/>
      <c r="P30" s="324"/>
      <c r="Q30" s="324"/>
    </row>
    <row r="31" spans="1:17" x14ac:dyDescent="0.25">
      <c r="A31" s="324" t="s">
        <v>259</v>
      </c>
      <c r="B31" s="324"/>
      <c r="C31" s="324"/>
      <c r="D31" s="324"/>
      <c r="E31" s="324"/>
      <c r="F31" s="324"/>
      <c r="G31" s="324"/>
      <c r="H31" s="324"/>
      <c r="I31" s="324"/>
      <c r="J31" s="324"/>
      <c r="K31" s="324"/>
      <c r="L31" s="324"/>
      <c r="M31" s="324"/>
      <c r="N31" s="324"/>
      <c r="O31" s="324"/>
      <c r="P31" s="324"/>
      <c r="Q31" s="324"/>
    </row>
    <row r="32" spans="1:17" x14ac:dyDescent="0.25">
      <c r="A32" s="324" t="s">
        <v>260</v>
      </c>
      <c r="B32" s="324"/>
      <c r="C32" s="324"/>
      <c r="D32" s="324"/>
      <c r="E32" s="324"/>
      <c r="F32" s="324"/>
      <c r="G32" s="324"/>
      <c r="H32" s="324"/>
      <c r="I32" s="324"/>
      <c r="J32" s="324"/>
      <c r="K32" s="324"/>
      <c r="L32" s="324"/>
      <c r="M32" s="324"/>
      <c r="N32" s="324"/>
      <c r="O32" s="324"/>
      <c r="P32" s="324"/>
      <c r="Q32" s="324"/>
    </row>
    <row r="33" spans="1:17" x14ac:dyDescent="0.25">
      <c r="A33" s="324" t="s">
        <v>261</v>
      </c>
      <c r="B33" s="324"/>
      <c r="C33" s="324"/>
      <c r="D33" s="324"/>
      <c r="E33" s="324"/>
      <c r="F33" s="324"/>
      <c r="G33" s="324"/>
      <c r="H33" s="324"/>
      <c r="I33" s="324"/>
      <c r="J33" s="324"/>
      <c r="K33" s="324"/>
      <c r="L33" s="324"/>
      <c r="M33" s="324"/>
      <c r="N33" s="324"/>
      <c r="O33" s="324"/>
      <c r="P33" s="324"/>
      <c r="Q33" s="324"/>
    </row>
    <row r="34" spans="1:17" x14ac:dyDescent="0.25">
      <c r="A34" s="324" t="s">
        <v>262</v>
      </c>
      <c r="B34" s="324"/>
      <c r="C34" s="324"/>
      <c r="D34" s="324"/>
      <c r="E34" s="324"/>
      <c r="F34" s="324"/>
      <c r="G34" s="324"/>
      <c r="H34" s="324"/>
      <c r="I34" s="324"/>
      <c r="J34" s="324"/>
      <c r="K34" s="324"/>
      <c r="L34" s="324"/>
      <c r="M34" s="324"/>
      <c r="N34" s="324"/>
      <c r="O34" s="324"/>
      <c r="P34" s="324"/>
      <c r="Q34" s="324"/>
    </row>
    <row r="35" spans="1:17" x14ac:dyDescent="0.25">
      <c r="A35" s="324" t="s">
        <v>263</v>
      </c>
      <c r="B35" s="324"/>
      <c r="C35" s="324"/>
      <c r="D35" s="324"/>
      <c r="E35" s="324"/>
      <c r="F35" s="324"/>
      <c r="G35" s="324"/>
      <c r="H35" s="324"/>
      <c r="I35" s="324"/>
      <c r="J35" s="324"/>
      <c r="K35" s="324"/>
      <c r="L35" s="324"/>
      <c r="M35" s="324"/>
      <c r="N35" s="324"/>
      <c r="O35" s="324"/>
      <c r="P35" s="324"/>
      <c r="Q35" s="324"/>
    </row>
    <row r="36" spans="1:17" x14ac:dyDescent="0.25">
      <c r="A36" s="324" t="s">
        <v>264</v>
      </c>
      <c r="B36" s="324"/>
      <c r="C36" s="324"/>
      <c r="D36" s="324"/>
      <c r="E36" s="324"/>
      <c r="F36" s="324"/>
      <c r="G36" s="324"/>
      <c r="H36" s="324"/>
      <c r="I36" s="324"/>
      <c r="J36" s="324"/>
      <c r="K36" s="324"/>
      <c r="L36" s="324"/>
      <c r="M36" s="324"/>
      <c r="N36" s="324"/>
      <c r="O36" s="324"/>
      <c r="P36" s="324"/>
      <c r="Q36" s="324"/>
    </row>
    <row r="37" spans="1:17" x14ac:dyDescent="0.25">
      <c r="A37" s="324" t="s">
        <v>265</v>
      </c>
      <c r="B37" s="324"/>
      <c r="C37" s="324"/>
      <c r="D37" s="324"/>
      <c r="E37" s="324"/>
      <c r="F37" s="324"/>
      <c r="G37" s="324"/>
      <c r="H37" s="324"/>
      <c r="I37" s="324"/>
      <c r="J37" s="324"/>
      <c r="K37" s="324"/>
      <c r="L37" s="324"/>
      <c r="M37" s="324"/>
      <c r="N37" s="324"/>
      <c r="O37" s="324"/>
      <c r="P37" s="324"/>
      <c r="Q37" s="324"/>
    </row>
    <row r="38" spans="1:17" x14ac:dyDescent="0.25">
      <c r="A38" s="324" t="s">
        <v>266</v>
      </c>
      <c r="B38" s="324"/>
      <c r="C38" s="324"/>
      <c r="D38" s="324"/>
      <c r="E38" s="324"/>
      <c r="F38" s="324"/>
      <c r="G38" s="324"/>
      <c r="H38" s="324"/>
      <c r="I38" s="324"/>
      <c r="J38" s="324"/>
      <c r="K38" s="324"/>
      <c r="L38" s="324"/>
      <c r="M38" s="324"/>
      <c r="N38" s="324"/>
      <c r="O38" s="324"/>
      <c r="P38" s="324"/>
      <c r="Q38" s="324"/>
    </row>
    <row r="39" spans="1:17" x14ac:dyDescent="0.25">
      <c r="A39" s="324" t="s">
        <v>267</v>
      </c>
      <c r="B39" s="324"/>
      <c r="C39" s="324"/>
      <c r="D39" s="324"/>
      <c r="E39" s="324"/>
      <c r="F39" s="324"/>
      <c r="G39" s="324"/>
      <c r="H39" s="324"/>
      <c r="I39" s="324"/>
      <c r="J39" s="324"/>
      <c r="K39" s="324"/>
      <c r="L39" s="324"/>
      <c r="M39" s="324"/>
      <c r="N39" s="324"/>
      <c r="O39" s="324"/>
      <c r="P39" s="324"/>
      <c r="Q39" s="324"/>
    </row>
    <row r="40" spans="1:17" x14ac:dyDescent="0.25">
      <c r="A40" s="324" t="s">
        <v>268</v>
      </c>
      <c r="B40" s="324"/>
      <c r="C40" s="324"/>
      <c r="D40" s="324"/>
      <c r="E40" s="324"/>
      <c r="F40" s="324"/>
      <c r="G40" s="324"/>
      <c r="H40" s="324"/>
      <c r="I40" s="324"/>
      <c r="J40" s="324"/>
      <c r="K40" s="324"/>
      <c r="L40" s="324"/>
      <c r="M40" s="324"/>
      <c r="N40" s="324"/>
      <c r="O40" s="324"/>
      <c r="P40" s="324"/>
      <c r="Q40" s="324"/>
    </row>
    <row r="41" spans="1:17" x14ac:dyDescent="0.25">
      <c r="A41" s="324" t="s">
        <v>269</v>
      </c>
      <c r="B41" s="324"/>
      <c r="C41" s="324"/>
      <c r="D41" s="324"/>
      <c r="E41" s="324"/>
      <c r="F41" s="324"/>
      <c r="G41" s="324"/>
      <c r="H41" s="324"/>
      <c r="I41" s="324"/>
      <c r="J41" s="324"/>
      <c r="K41" s="324"/>
      <c r="L41" s="324"/>
      <c r="M41" s="324"/>
      <c r="N41" s="324"/>
      <c r="O41" s="324"/>
      <c r="P41" s="324"/>
      <c r="Q41" s="324"/>
    </row>
    <row r="42" spans="1:17" x14ac:dyDescent="0.25">
      <c r="A42" s="324" t="s">
        <v>270</v>
      </c>
      <c r="B42" s="324"/>
      <c r="C42" s="324"/>
      <c r="D42" s="324"/>
      <c r="E42" s="324"/>
      <c r="F42" s="324"/>
      <c r="G42" s="324"/>
      <c r="H42" s="324"/>
      <c r="I42" s="324"/>
      <c r="J42" s="324"/>
      <c r="K42" s="324"/>
      <c r="L42" s="324"/>
      <c r="M42" s="324"/>
      <c r="N42" s="324"/>
      <c r="O42" s="324"/>
      <c r="P42" s="324"/>
      <c r="Q42" s="324"/>
    </row>
    <row r="43" spans="1:17" x14ac:dyDescent="0.25">
      <c r="A43" s="469" t="s">
        <v>271</v>
      </c>
      <c r="B43" s="469"/>
      <c r="C43" s="286">
        <f>SUM(C13:C42)</f>
        <v>0</v>
      </c>
      <c r="D43" s="286">
        <f t="shared" ref="D43:Q43" si="0">SUM(D13:D42)</f>
        <v>0</v>
      </c>
      <c r="E43" s="286">
        <f t="shared" si="0"/>
        <v>0</v>
      </c>
      <c r="F43" s="286">
        <f t="shared" si="0"/>
        <v>0</v>
      </c>
      <c r="G43" s="286">
        <f t="shared" si="0"/>
        <v>0</v>
      </c>
      <c r="H43" s="286">
        <f t="shared" si="0"/>
        <v>0</v>
      </c>
      <c r="I43" s="286">
        <f t="shared" si="0"/>
        <v>0</v>
      </c>
      <c r="J43" s="286">
        <f t="shared" si="0"/>
        <v>0</v>
      </c>
      <c r="K43" s="286">
        <f t="shared" si="0"/>
        <v>1</v>
      </c>
      <c r="L43" s="286">
        <f t="shared" si="0"/>
        <v>0</v>
      </c>
      <c r="M43" s="286">
        <f t="shared" si="0"/>
        <v>0</v>
      </c>
      <c r="N43" s="286">
        <f t="shared" si="0"/>
        <v>0</v>
      </c>
      <c r="O43" s="286">
        <f t="shared" si="0"/>
        <v>0</v>
      </c>
      <c r="P43" s="286">
        <f t="shared" si="0"/>
        <v>0</v>
      </c>
      <c r="Q43" s="286">
        <f t="shared" si="0"/>
        <v>0</v>
      </c>
    </row>
  </sheetData>
  <sheetProtection algorithmName="SHA-512" hashValue="qsZdFpE0c2DHxlp0Or+XbK7gtAMBzsu+50w9hdHK6KwHoITXulN8fSeiaOsHDbixtGIdup5xYlhJPDoAy+qotQ==" saltValue="rTZSL9Om7WYtOF1Kth4XRQ==" spinCount="100000" sheet="1" objects="1" scenarios="1"/>
  <mergeCells count="26">
    <mergeCell ref="A43:B43"/>
    <mergeCell ref="I3:I12"/>
    <mergeCell ref="J3:J12"/>
    <mergeCell ref="K3:M3"/>
    <mergeCell ref="A4:A12"/>
    <mergeCell ref="B4:B12"/>
    <mergeCell ref="E4:E12"/>
    <mergeCell ref="F4:F12"/>
    <mergeCell ref="G4:G12"/>
    <mergeCell ref="H4:H12"/>
    <mergeCell ref="K4:K12"/>
    <mergeCell ref="L4:L12"/>
    <mergeCell ref="M4:M12"/>
    <mergeCell ref="C1:J1"/>
    <mergeCell ref="K1:Q1"/>
    <mergeCell ref="C2:J2"/>
    <mergeCell ref="K2:M2"/>
    <mergeCell ref="N2:N3"/>
    <mergeCell ref="O2:P3"/>
    <mergeCell ref="Q2:Q12"/>
    <mergeCell ref="C3:C12"/>
    <mergeCell ref="D3:D12"/>
    <mergeCell ref="E3:G3"/>
    <mergeCell ref="N4:N12"/>
    <mergeCell ref="O4:O12"/>
    <mergeCell ref="P4:P12"/>
  </mergeCells>
  <phoneticPr fontId="67" type="noConversion"/>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7">
    <pageSetUpPr fitToPage="1"/>
  </sheetPr>
  <dimension ref="B2:N45"/>
  <sheetViews>
    <sheetView topLeftCell="A4" zoomScale="85" zoomScaleNormal="85" workbookViewId="0">
      <selection activeCell="D13" sqref="D13:D14"/>
    </sheetView>
  </sheetViews>
  <sheetFormatPr defaultColWidth="9.140625" defaultRowHeight="12.75" x14ac:dyDescent="0.2"/>
  <cols>
    <col min="2" max="2" width="11.85546875" style="156" customWidth="1"/>
    <col min="3" max="3" width="8.42578125" customWidth="1"/>
    <col min="4" max="4" width="9.140625" customWidth="1"/>
    <col min="5" max="5" width="11.85546875" customWidth="1"/>
    <col min="6" max="6" width="14.5703125" customWidth="1"/>
    <col min="7" max="7" width="13.42578125" customWidth="1"/>
    <col min="8" max="8" width="14.140625" customWidth="1"/>
    <col min="9" max="9" width="13.5703125" customWidth="1"/>
    <col min="10" max="10" width="14.42578125" customWidth="1"/>
    <col min="11" max="11" width="13.85546875" customWidth="1"/>
    <col min="13" max="13" width="12.42578125" customWidth="1"/>
    <col min="14" max="14" width="10.42578125" customWidth="1"/>
  </cols>
  <sheetData>
    <row r="2" spans="2:14" x14ac:dyDescent="0.2">
      <c r="B2" s="514" t="s">
        <v>272</v>
      </c>
      <c r="C2" s="514"/>
      <c r="D2" s="514"/>
      <c r="E2" s="514"/>
    </row>
    <row r="3" spans="2:14" x14ac:dyDescent="0.2">
      <c r="B3" s="515"/>
      <c r="C3" s="515"/>
      <c r="D3" s="515"/>
      <c r="E3" s="515"/>
    </row>
    <row r="4" spans="2:14" x14ac:dyDescent="0.2">
      <c r="B4" s="513" t="s">
        <v>228</v>
      </c>
      <c r="C4" s="513" t="s">
        <v>229</v>
      </c>
      <c r="D4" s="510" t="s">
        <v>273</v>
      </c>
      <c r="E4" s="510" t="s">
        <v>274</v>
      </c>
      <c r="F4" s="510" t="s">
        <v>275</v>
      </c>
      <c r="G4" s="510" t="s">
        <v>276</v>
      </c>
      <c r="H4" s="508" t="s">
        <v>277</v>
      </c>
      <c r="I4" s="510" t="s">
        <v>278</v>
      </c>
      <c r="J4" s="510" t="s">
        <v>279</v>
      </c>
      <c r="K4" s="510" t="s">
        <v>280</v>
      </c>
      <c r="L4" s="510" t="s">
        <v>281</v>
      </c>
      <c r="M4" s="510" t="s">
        <v>282</v>
      </c>
      <c r="N4" s="510" t="s">
        <v>283</v>
      </c>
    </row>
    <row r="5" spans="2:14" x14ac:dyDescent="0.2">
      <c r="B5" s="513"/>
      <c r="C5" s="513"/>
      <c r="D5" s="511"/>
      <c r="E5" s="511"/>
      <c r="F5" s="511"/>
      <c r="G5" s="511"/>
      <c r="H5" s="509"/>
      <c r="I5" s="511"/>
      <c r="J5" s="511"/>
      <c r="K5" s="511"/>
      <c r="L5" s="511"/>
      <c r="M5" s="511"/>
      <c r="N5" s="511"/>
    </row>
    <row r="6" spans="2:14" x14ac:dyDescent="0.2">
      <c r="B6" s="513"/>
      <c r="C6" s="513"/>
      <c r="D6" s="511"/>
      <c r="E6" s="511"/>
      <c r="F6" s="511"/>
      <c r="G6" s="511"/>
      <c r="H6" s="509"/>
      <c r="I6" s="511"/>
      <c r="J6" s="511"/>
      <c r="K6" s="511"/>
      <c r="L6" s="511"/>
      <c r="M6" s="511"/>
      <c r="N6" s="511"/>
    </row>
    <row r="7" spans="2:14" x14ac:dyDescent="0.2">
      <c r="B7" s="513"/>
      <c r="C7" s="513"/>
      <c r="D7" s="511"/>
      <c r="E7" s="511"/>
      <c r="F7" s="511"/>
      <c r="G7" s="511"/>
      <c r="H7" s="509"/>
      <c r="I7" s="511"/>
      <c r="J7" s="511"/>
      <c r="K7" s="511"/>
      <c r="L7" s="511"/>
      <c r="M7" s="511"/>
      <c r="N7" s="511"/>
    </row>
    <row r="8" spans="2:14" x14ac:dyDescent="0.2">
      <c r="B8" s="513"/>
      <c r="C8" s="513"/>
      <c r="D8" s="511"/>
      <c r="E8" s="511"/>
      <c r="F8" s="511"/>
      <c r="G8" s="511"/>
      <c r="H8" s="509"/>
      <c r="I8" s="511"/>
      <c r="J8" s="511"/>
      <c r="K8" s="511"/>
      <c r="L8" s="511"/>
      <c r="M8" s="511"/>
      <c r="N8" s="511"/>
    </row>
    <row r="9" spans="2:14" x14ac:dyDescent="0.2">
      <c r="B9" s="513"/>
      <c r="C9" s="513"/>
      <c r="D9" s="511"/>
      <c r="E9" s="511"/>
      <c r="F9" s="511"/>
      <c r="G9" s="511"/>
      <c r="H9" s="509"/>
      <c r="I9" s="511"/>
      <c r="J9" s="511"/>
      <c r="K9" s="511"/>
      <c r="L9" s="511"/>
      <c r="M9" s="511"/>
      <c r="N9" s="511"/>
    </row>
    <row r="10" spans="2:14" x14ac:dyDescent="0.2">
      <c r="B10" s="513"/>
      <c r="C10" s="513"/>
      <c r="D10" s="511"/>
      <c r="E10" s="511"/>
      <c r="F10" s="511"/>
      <c r="G10" s="511"/>
      <c r="H10" s="509"/>
      <c r="I10" s="511"/>
      <c r="J10" s="511"/>
      <c r="K10" s="511"/>
      <c r="L10" s="511"/>
      <c r="M10" s="511"/>
      <c r="N10" s="511"/>
    </row>
    <row r="11" spans="2:14" x14ac:dyDescent="0.2">
      <c r="B11" s="513"/>
      <c r="C11" s="513"/>
      <c r="D11" s="511"/>
      <c r="E11" s="511"/>
      <c r="F11" s="511"/>
      <c r="G11" s="511"/>
      <c r="H11" s="509"/>
      <c r="I11" s="511"/>
      <c r="J11" s="511"/>
      <c r="K11" s="511"/>
      <c r="L11" s="511"/>
      <c r="M11" s="511"/>
      <c r="N11" s="511"/>
    </row>
    <row r="12" spans="2:14" x14ac:dyDescent="0.2">
      <c r="B12" s="513"/>
      <c r="C12" s="513"/>
      <c r="D12" s="511"/>
      <c r="E12" s="511"/>
      <c r="F12" s="511"/>
      <c r="G12" s="511"/>
      <c r="H12" s="509"/>
      <c r="I12" s="511"/>
      <c r="J12" s="511"/>
      <c r="K12" s="511"/>
      <c r="L12" s="511"/>
      <c r="M12" s="511"/>
      <c r="N12" s="511"/>
    </row>
    <row r="13" spans="2:14" x14ac:dyDescent="0.2">
      <c r="B13" s="512"/>
      <c r="C13" s="512"/>
      <c r="D13" s="507">
        <f>IFERROR('Budget for the contract'!F8,"")</f>
        <v>0</v>
      </c>
      <c r="E13" s="507">
        <f>IFERROR(('Budget for the contract'!F10+'Budget for the contract'!F11),"")</f>
        <v>0</v>
      </c>
      <c r="F13" s="507">
        <f>IFERROR('Budget for the contract'!F13,"")</f>
        <v>0</v>
      </c>
      <c r="G13" s="499">
        <f>IFERROR(('Budget for the contract'!F14),"")</f>
        <v>0</v>
      </c>
      <c r="H13" s="504"/>
      <c r="I13" s="505">
        <f>IFERROR(((D13+E13-H13)*0.25),"")</f>
        <v>0</v>
      </c>
      <c r="J13" s="499"/>
      <c r="K13" s="498">
        <f>IFERROR((SUM(D13+E13+F13+G13+I13+J13)),"")</f>
        <v>0</v>
      </c>
      <c r="L13" s="500">
        <v>100</v>
      </c>
      <c r="M13" s="498">
        <f>IFERROR((K13*1),"")</f>
        <v>0</v>
      </c>
      <c r="N13" s="498">
        <f>M13</f>
        <v>0</v>
      </c>
    </row>
    <row r="14" spans="2:14" x14ac:dyDescent="0.2">
      <c r="B14" s="512"/>
      <c r="C14" s="512"/>
      <c r="D14" s="507"/>
      <c r="E14" s="507"/>
      <c r="F14" s="507"/>
      <c r="G14" s="499"/>
      <c r="H14" s="504"/>
      <c r="I14" s="506"/>
      <c r="J14" s="499"/>
      <c r="K14" s="499"/>
      <c r="L14" s="501"/>
      <c r="M14" s="499"/>
      <c r="N14" s="499"/>
    </row>
    <row r="15" spans="2:14" x14ac:dyDescent="0.2">
      <c r="B15" s="502" t="s">
        <v>271</v>
      </c>
      <c r="C15" s="502"/>
      <c r="D15" s="496">
        <f>D13</f>
        <v>0</v>
      </c>
      <c r="E15" s="496">
        <f t="shared" ref="E15:N15" si="0">E13</f>
        <v>0</v>
      </c>
      <c r="F15" s="496">
        <f t="shared" si="0"/>
        <v>0</v>
      </c>
      <c r="G15" s="496">
        <f t="shared" si="0"/>
        <v>0</v>
      </c>
      <c r="H15" s="496">
        <f t="shared" si="0"/>
        <v>0</v>
      </c>
      <c r="I15" s="496">
        <f t="shared" si="0"/>
        <v>0</v>
      </c>
      <c r="J15" s="496">
        <f t="shared" si="0"/>
        <v>0</v>
      </c>
      <c r="K15" s="496">
        <f t="shared" si="0"/>
        <v>0</v>
      </c>
      <c r="L15" s="496">
        <f t="shared" si="0"/>
        <v>100</v>
      </c>
      <c r="M15" s="496">
        <f t="shared" si="0"/>
        <v>0</v>
      </c>
      <c r="N15" s="496">
        <f t="shared" si="0"/>
        <v>0</v>
      </c>
    </row>
    <row r="16" spans="2:14" x14ac:dyDescent="0.2">
      <c r="B16" s="503"/>
      <c r="C16" s="503"/>
      <c r="D16" s="497"/>
      <c r="E16" s="497"/>
      <c r="F16" s="497"/>
      <c r="G16" s="497"/>
      <c r="H16" s="497"/>
      <c r="I16" s="497"/>
      <c r="J16" s="497"/>
      <c r="K16" s="497"/>
      <c r="L16" s="497"/>
      <c r="M16" s="497"/>
      <c r="N16" s="497"/>
    </row>
    <row r="17" spans="4:14" x14ac:dyDescent="0.2">
      <c r="D17" s="5"/>
      <c r="E17" s="5"/>
      <c r="F17" s="5"/>
      <c r="G17" s="5"/>
      <c r="I17" s="157"/>
      <c r="J17" s="5"/>
    </row>
    <row r="18" spans="4:14" x14ac:dyDescent="0.2">
      <c r="I18" s="157"/>
    </row>
    <row r="19" spans="4:14" x14ac:dyDescent="0.2">
      <c r="N19" s="78"/>
    </row>
    <row r="20" spans="4:14" x14ac:dyDescent="0.2">
      <c r="I20" s="233"/>
      <c r="J20" s="234"/>
    </row>
    <row r="21" spans="4:14" x14ac:dyDescent="0.2">
      <c r="I21" s="229"/>
    </row>
    <row r="45" spans="10:10" ht="15" x14ac:dyDescent="0.25">
      <c r="J45" s="118"/>
    </row>
  </sheetData>
  <sheetProtection password="FF04" sheet="1" objects="1" scenarios="1" formatColumns="0"/>
  <mergeCells count="40">
    <mergeCell ref="N4:N12"/>
    <mergeCell ref="K4:K12"/>
    <mergeCell ref="L4:L12"/>
    <mergeCell ref="M4:M12"/>
    <mergeCell ref="B2:E3"/>
    <mergeCell ref="B13:B14"/>
    <mergeCell ref="C13:C14"/>
    <mergeCell ref="D13:D14"/>
    <mergeCell ref="E13:E14"/>
    <mergeCell ref="B4:B12"/>
    <mergeCell ref="C4:C12"/>
    <mergeCell ref="D4:D12"/>
    <mergeCell ref="E4:E12"/>
    <mergeCell ref="F13:F14"/>
    <mergeCell ref="G13:G14"/>
    <mergeCell ref="H4:H12"/>
    <mergeCell ref="I4:I12"/>
    <mergeCell ref="J4:J12"/>
    <mergeCell ref="F4:F12"/>
    <mergeCell ref="G4:G12"/>
    <mergeCell ref="G15:G16"/>
    <mergeCell ref="H15:H16"/>
    <mergeCell ref="I15:I16"/>
    <mergeCell ref="J15:J16"/>
    <mergeCell ref="H13:H14"/>
    <mergeCell ref="I13:I14"/>
    <mergeCell ref="J13:J14"/>
    <mergeCell ref="B15:B16"/>
    <mergeCell ref="C15:C16"/>
    <mergeCell ref="D15:D16"/>
    <mergeCell ref="E15:E16"/>
    <mergeCell ref="F15:F16"/>
    <mergeCell ref="K15:K16"/>
    <mergeCell ref="L15:L16"/>
    <mergeCell ref="M15:M16"/>
    <mergeCell ref="N15:N16"/>
    <mergeCell ref="N13:N14"/>
    <mergeCell ref="K13:K14"/>
    <mergeCell ref="L13:L14"/>
    <mergeCell ref="M13:M14"/>
  </mergeCells>
  <pageMargins left="0.7" right="0.7" top="0.75" bottom="0.75" header="0.3" footer="0.3"/>
  <pageSetup paperSize="9" scale="79" orientation="landscape"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U12"/>
  <sheetViews>
    <sheetView zoomScale="70" zoomScaleNormal="70" workbookViewId="0">
      <selection activeCell="H22" sqref="H22"/>
    </sheetView>
  </sheetViews>
  <sheetFormatPr defaultColWidth="10.85546875" defaultRowHeight="15" x14ac:dyDescent="0.25"/>
  <cols>
    <col min="1" max="3" width="10.85546875" style="281"/>
    <col min="4" max="4" width="26.5703125" style="281" customWidth="1"/>
    <col min="5" max="6" width="12.5703125" style="281" bestFit="1" customWidth="1"/>
    <col min="7" max="7" width="13.85546875" style="281" customWidth="1"/>
    <col min="8" max="8" width="16" style="281" customWidth="1"/>
    <col min="9" max="9" width="10.85546875" style="281"/>
    <col min="10" max="10" width="14.5703125" style="281" customWidth="1"/>
    <col min="11" max="16384" width="10.85546875" style="281"/>
  </cols>
  <sheetData>
    <row r="2" spans="1:21" ht="15" customHeight="1" x14ac:dyDescent="0.25">
      <c r="A2" s="522" t="s">
        <v>284</v>
      </c>
      <c r="B2" s="523"/>
      <c r="C2" s="524"/>
      <c r="D2" s="301" t="s">
        <v>285</v>
      </c>
      <c r="E2" s="531" t="s">
        <v>286</v>
      </c>
      <c r="F2" s="534" t="s">
        <v>287</v>
      </c>
      <c r="G2" s="534" t="s">
        <v>288</v>
      </c>
      <c r="H2" s="518" t="s">
        <v>289</v>
      </c>
      <c r="I2" s="518" t="s">
        <v>290</v>
      </c>
      <c r="J2" s="518" t="s">
        <v>291</v>
      </c>
      <c r="K2" s="518" t="s">
        <v>292</v>
      </c>
      <c r="L2" s="518" t="s">
        <v>293</v>
      </c>
      <c r="M2" s="518" t="s">
        <v>294</v>
      </c>
      <c r="N2" s="518" t="s">
        <v>295</v>
      </c>
      <c r="O2" s="518" t="s">
        <v>296</v>
      </c>
      <c r="P2" s="518" t="s">
        <v>297</v>
      </c>
      <c r="Q2" s="518" t="s">
        <v>298</v>
      </c>
      <c r="R2" s="516" t="s">
        <v>299</v>
      </c>
      <c r="S2" s="326" t="s">
        <v>300</v>
      </c>
      <c r="T2" s="516" t="s">
        <v>301</v>
      </c>
      <c r="U2" s="516" t="s">
        <v>217</v>
      </c>
    </row>
    <row r="3" spans="1:21" ht="15" customHeight="1" x14ac:dyDescent="0.25">
      <c r="A3" s="525"/>
      <c r="B3" s="526"/>
      <c r="C3" s="527"/>
      <c r="D3" s="301"/>
      <c r="E3" s="532"/>
      <c r="F3" s="534"/>
      <c r="G3" s="534"/>
      <c r="H3" s="518"/>
      <c r="I3" s="518"/>
      <c r="J3" s="518"/>
      <c r="K3" s="518"/>
      <c r="L3" s="518"/>
      <c r="M3" s="518"/>
      <c r="N3" s="518"/>
      <c r="O3" s="518"/>
      <c r="P3" s="518"/>
      <c r="Q3" s="518"/>
      <c r="R3" s="517"/>
      <c r="S3" s="327"/>
      <c r="T3" s="517"/>
      <c r="U3" s="517"/>
    </row>
    <row r="4" spans="1:21" ht="15" customHeight="1" x14ac:dyDescent="0.25">
      <c r="A4" s="525"/>
      <c r="B4" s="526"/>
      <c r="C4" s="527"/>
      <c r="D4" s="301"/>
      <c r="E4" s="532"/>
      <c r="F4" s="534"/>
      <c r="G4" s="534"/>
      <c r="H4" s="518"/>
      <c r="I4" s="518"/>
      <c r="J4" s="518"/>
      <c r="K4" s="518"/>
      <c r="L4" s="518"/>
      <c r="M4" s="518"/>
      <c r="N4" s="518"/>
      <c r="O4" s="518"/>
      <c r="P4" s="518"/>
      <c r="Q4" s="518"/>
      <c r="R4" s="517"/>
      <c r="S4" s="327"/>
      <c r="T4" s="517"/>
      <c r="U4" s="517"/>
    </row>
    <row r="5" spans="1:21" x14ac:dyDescent="0.25">
      <c r="A5" s="525"/>
      <c r="B5" s="526"/>
      <c r="C5" s="527"/>
      <c r="D5" s="301"/>
      <c r="E5" s="532"/>
      <c r="F5" s="534"/>
      <c r="G5" s="534"/>
      <c r="H5" s="518"/>
      <c r="I5" s="518"/>
      <c r="J5" s="518"/>
      <c r="K5" s="518"/>
      <c r="L5" s="518"/>
      <c r="M5" s="518"/>
      <c r="N5" s="518"/>
      <c r="O5" s="518"/>
      <c r="P5" s="518"/>
      <c r="Q5" s="518"/>
      <c r="R5" s="517"/>
      <c r="S5" s="327"/>
      <c r="T5" s="517"/>
      <c r="U5" s="517"/>
    </row>
    <row r="6" spans="1:21" x14ac:dyDescent="0.25">
      <c r="A6" s="528"/>
      <c r="B6" s="529"/>
      <c r="C6" s="530"/>
      <c r="D6" s="302"/>
      <c r="E6" s="533"/>
      <c r="F6" s="534"/>
      <c r="G6" s="534"/>
      <c r="H6" s="518"/>
      <c r="I6" s="518"/>
      <c r="J6" s="518"/>
      <c r="K6" s="518"/>
      <c r="L6" s="518"/>
      <c r="M6" s="518"/>
      <c r="N6" s="518"/>
      <c r="O6" s="518"/>
      <c r="P6" s="518"/>
      <c r="Q6" s="518"/>
      <c r="R6" s="517"/>
      <c r="S6" s="327"/>
      <c r="T6" s="517"/>
      <c r="U6" s="517"/>
    </row>
    <row r="7" spans="1:21" ht="15.75" x14ac:dyDescent="0.25">
      <c r="A7" s="519" t="s">
        <v>302</v>
      </c>
      <c r="B7" s="520"/>
      <c r="C7" s="521"/>
      <c r="D7" s="300">
        <f>(IFERROR(VLOOKUP(D2,Budsjett!$B4:$M4,10,FALSE),0)+IFERROR(VLOOKUP(D2,Budsjett!$B5:$M5,10,FALSE),0)+IFERROR(VLOOKUP(D2,Budsjett!$B6:$M6,10,FALSE),0)+IFERROR(VLOOKUP(D2,Budsjett!$B7:$M7,10,FALSE),0)+IFERROR(VLOOKUP(D2,Budsjett!$B8:$M8,10,FALSE),0)+IFERROR(VLOOKUP(D2,Budsjett!$B9:$M9,10,FALSE),0)+IFERROR(VLOOKUP(D2,Budsjett!$B10:$M10,10,FALSE),0)+IFERROR(VLOOKUP(D2,Budsjett!$B11:$M11,10,FALSE),0)+IFERROR(VLOOKUP(D2,Budsjett!$B15:$M15,10,FALSE),0)+IFERROR(VLOOKUP(D2,Budsjett!$B16:$M16,10,FALSE),0)+IFERROR(VLOOKUP(D2,Budsjett!$B17:$M17,10,FALSE),0)+IFERROR(VLOOKUP(D2,Budsjett!$B18:$M18,10,FALSE),0)+IFERROR(VLOOKUP(D2,Budsjett!$B19:$M19,10,FALSE),0))/Registrering!$C$23</f>
        <v>0</v>
      </c>
      <c r="E7" s="300">
        <f>(IFERROR(VLOOKUP(E2,Budsjett!$B4:$M4,10,FALSE),0)+IFERROR(VLOOKUP(E2,Budsjett!$B5:$M5,10,FALSE),0)+IFERROR(VLOOKUP(E2,Budsjett!$B6:$M6,10,FALSE),0)+IFERROR(VLOOKUP(E2,Budsjett!$B7:$M7,10,FALSE),0)+IFERROR(VLOOKUP(E2,Budsjett!$B8:$M8,10,FALSE),0)+IFERROR(VLOOKUP(E2,Budsjett!$B9:$M9,10,FALSE),0)+IFERROR(VLOOKUP(E2,Budsjett!$B10:$M10,10,FALSE),0)+IFERROR(VLOOKUP(E2,Budsjett!$B11:$M11,10,FALSE),0)+IFERROR(VLOOKUP(E2,Budsjett!$B15:$M15,10,FALSE),0)+IFERROR(VLOOKUP(E2,Budsjett!$B16:$M16,10,FALSE),0)+IFERROR(VLOOKUP(E2,Budsjett!$B17:$M17,10,FALSE),0)+IFERROR(VLOOKUP(E2,Budsjett!$B18:$M18,10,FALSE),0)+IFERROR(VLOOKUP(E2,Budsjett!$B19:$M19,10,FALSE),0))/Registrering!$C$23</f>
        <v>0</v>
      </c>
      <c r="F7" s="300">
        <f>(IFERROR(VLOOKUP(F2,Budsjett!$B4:$M4,10,FALSE),0)+IFERROR(VLOOKUP(F2,Budsjett!$B5:$M5,10,FALSE),0)+IFERROR(VLOOKUP(F2,Budsjett!$B6:$M6,10,FALSE),0)+IFERROR(VLOOKUP(F2,Budsjett!$B7:$M7,10,FALSE),0)+IFERROR(VLOOKUP(F2,Budsjett!$B8:$M8,10,FALSE),0)+IFERROR(VLOOKUP(F2,Budsjett!$B9:$M9,10,FALSE),0)+IFERROR(VLOOKUP(F2,Budsjett!$B10:$M10,10,FALSE),0)+IFERROR(VLOOKUP(F2,Budsjett!$B11:$M11,10,FALSE),0)+IFERROR(VLOOKUP(F2,Budsjett!$B15:$M15,10,FALSE),0)+IFERROR(VLOOKUP(F2,Budsjett!$B16:$M16,10,FALSE),0)+IFERROR(VLOOKUP(F2,Budsjett!$B17:$M17,10,FALSE),0)+IFERROR(VLOOKUP(F2,Budsjett!$B18:$M18,10,FALSE),0)+IFERROR(VLOOKUP(F2,Budsjett!$B19:$M19,10,FALSE),0))/Registrering!$C$23</f>
        <v>0</v>
      </c>
      <c r="G7" s="300">
        <f>(IFERROR(VLOOKUP(G2,Budsjett!$B4:$M4,10,FALSE),0)+IFERROR(VLOOKUP(G2,Budsjett!$B5:$M5,10,FALSE),0)+IFERROR(VLOOKUP(G2,Budsjett!$B6:$M6,10,FALSE),0)+IFERROR(VLOOKUP(G2,Budsjett!$B7:$M7,10,FALSE),0)+IFERROR(VLOOKUP(G2,Budsjett!$B8:$M8,10,FALSE),0)+IFERROR(VLOOKUP(G2,Budsjett!$B9:$M9,10,FALSE),0)+IFERROR(VLOOKUP(G2,Budsjett!$B10:$M10,10,FALSE),0)+IFERROR(VLOOKUP(G2,Budsjett!$B11:$M11,10,FALSE),0)+IFERROR(VLOOKUP(G2,Budsjett!$B15:$M15,10,FALSE),0)+IFERROR(VLOOKUP(G2,Budsjett!$B16:$M16,10,FALSE),0)+IFERROR(VLOOKUP(G2,Budsjett!$B17:$M17,10,FALSE),0)+IFERROR(VLOOKUP(G2,Budsjett!$B18:$M18,10,FALSE),0)+IFERROR(VLOOKUP(G2,Budsjett!$B19:$M19,10,FALSE),0))/Registrering!$C$23</f>
        <v>0</v>
      </c>
      <c r="H7" s="300">
        <f>(IFERROR(VLOOKUP(H2,Budsjett!$B4:$M4,10,FALSE),0)+IFERROR(VLOOKUP(H2,Budsjett!$B5:$M5,10,FALSE),0)+IFERROR(VLOOKUP(H2,Budsjett!$B6:$M6,10,FALSE),0)+IFERROR(VLOOKUP(H2,Budsjett!$B7:$M7,10,FALSE),0)+IFERROR(VLOOKUP(H2,Budsjett!$B8:$M8,10,FALSE),0)+IFERROR(VLOOKUP(H2,Budsjett!$B9:$M9,10,FALSE),0)+IFERROR(VLOOKUP(H2,Budsjett!$B10:$M10,10,FALSE),0)+IFERROR(VLOOKUP(H2,Budsjett!$B11:$M11,10,FALSE),0)+IFERROR(VLOOKUP(H2,Budsjett!$B15:$M15,10,FALSE),0)+IFERROR(VLOOKUP(H2,Budsjett!$B16:$M16,10,FALSE),0)+IFERROR(VLOOKUP(H2,Budsjett!$B17:$M17,10,FALSE),0)+IFERROR(VLOOKUP(H2,Budsjett!$B18:$M18,10,FALSE),0)+IFERROR(VLOOKUP(H2,Budsjett!$B19:$M19,10,FALSE),0))/Registrering!$C$23+ (Budsjett!K34/Registrering!C23)</f>
        <v>0</v>
      </c>
      <c r="I7" s="283">
        <f>SUM(B4:H7)</f>
        <v>0</v>
      </c>
      <c r="J7" s="282">
        <f>'Budget for the proposal RIA &amp;IA'!D13</f>
        <v>0</v>
      </c>
      <c r="K7" s="282">
        <f>'Budget for the proposal RIA &amp;IA'!E13</f>
        <v>0</v>
      </c>
      <c r="L7" s="282">
        <f>'Budget for the proposal RIA &amp;IA'!F13</f>
        <v>0</v>
      </c>
      <c r="M7" s="282">
        <f>Budsjett!M38/Registrering!C23</f>
        <v>0</v>
      </c>
      <c r="N7" s="282">
        <f>Budsjett!M43/Registrering!C23</f>
        <v>0</v>
      </c>
      <c r="O7" s="284">
        <f>+Budsjett!M40/Registrering!C23</f>
        <v>0</v>
      </c>
      <c r="P7" s="283">
        <f>SUM(M7:O7)</f>
        <v>0</v>
      </c>
      <c r="Q7" s="285">
        <f>SUM(K7,L7,P7)</f>
        <v>0</v>
      </c>
      <c r="R7" s="286">
        <f>'D. Other cost categories (prop)'!D14</f>
        <v>0</v>
      </c>
      <c r="S7" s="286">
        <f>'Budget for the proposal RIA &amp;IA'!I13</f>
        <v>0</v>
      </c>
      <c r="T7" s="285">
        <f>SUM(I7,J7,Q7,R7,S7)</f>
        <v>0</v>
      </c>
      <c r="U7" s="282">
        <f>T7</f>
        <v>0</v>
      </c>
    </row>
    <row r="8" spans="1:21" x14ac:dyDescent="0.25">
      <c r="A8" s="469" t="s">
        <v>271</v>
      </c>
      <c r="B8" s="469"/>
      <c r="C8" s="469"/>
      <c r="D8" s="410">
        <f>D7</f>
        <v>0</v>
      </c>
      <c r="E8" s="410">
        <f t="shared" ref="E8:U8" si="0">E7</f>
        <v>0</v>
      </c>
      <c r="F8" s="410">
        <f t="shared" si="0"/>
        <v>0</v>
      </c>
      <c r="G8" s="410">
        <f t="shared" si="0"/>
        <v>0</v>
      </c>
      <c r="H8" s="410">
        <f t="shared" si="0"/>
        <v>0</v>
      </c>
      <c r="I8" s="410">
        <f t="shared" si="0"/>
        <v>0</v>
      </c>
      <c r="J8" s="410">
        <f t="shared" si="0"/>
        <v>0</v>
      </c>
      <c r="K8" s="410">
        <f t="shared" si="0"/>
        <v>0</v>
      </c>
      <c r="L8" s="410">
        <f t="shared" si="0"/>
        <v>0</v>
      </c>
      <c r="M8" s="410">
        <f t="shared" si="0"/>
        <v>0</v>
      </c>
      <c r="N8" s="410">
        <f t="shared" si="0"/>
        <v>0</v>
      </c>
      <c r="O8" s="410">
        <f t="shared" si="0"/>
        <v>0</v>
      </c>
      <c r="P8" s="410">
        <f t="shared" si="0"/>
        <v>0</v>
      </c>
      <c r="Q8" s="410">
        <f t="shared" si="0"/>
        <v>0</v>
      </c>
      <c r="R8" s="410">
        <f t="shared" si="0"/>
        <v>0</v>
      </c>
      <c r="S8" s="410">
        <f t="shared" si="0"/>
        <v>0</v>
      </c>
      <c r="T8" s="410">
        <f t="shared" si="0"/>
        <v>0</v>
      </c>
      <c r="U8" s="410">
        <f t="shared" si="0"/>
        <v>0</v>
      </c>
    </row>
    <row r="12" spans="1:21" x14ac:dyDescent="0.25">
      <c r="D12" s="411"/>
    </row>
  </sheetData>
  <sheetProtection algorithmName="SHA-512" hashValue="AXzolyTVX8wkyNwUBhH1eI3XZz+70eVhbWmQ+7gaAwaV9TNN3hKTD3rbaaHkqczAsVPUNn6fMDJ+HEoCyxP0eA==" saltValue="95n8mstRHBlTifUp2X3MSw==" spinCount="100000" sheet="1" objects="1" scenarios="1"/>
  <mergeCells count="19">
    <mergeCell ref="A7:C7"/>
    <mergeCell ref="A8:C8"/>
    <mergeCell ref="O2:O6"/>
    <mergeCell ref="P2:P6"/>
    <mergeCell ref="Q2:Q6"/>
    <mergeCell ref="A2:C6"/>
    <mergeCell ref="E2:E6"/>
    <mergeCell ref="F2:F6"/>
    <mergeCell ref="G2:G6"/>
    <mergeCell ref="H2:H6"/>
    <mergeCell ref="R2:R6"/>
    <mergeCell ref="T2:T6"/>
    <mergeCell ref="U2:U6"/>
    <mergeCell ref="I2:I6"/>
    <mergeCell ref="J2:J6"/>
    <mergeCell ref="K2:K6"/>
    <mergeCell ref="L2:L6"/>
    <mergeCell ref="M2:M6"/>
    <mergeCell ref="N2:N6"/>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tabColor theme="0" tint="-0.14999847407452621"/>
    <pageSetUpPr fitToPage="1"/>
  </sheetPr>
  <dimension ref="A1:R39"/>
  <sheetViews>
    <sheetView showGridLines="0" zoomScaleNormal="100" workbookViewId="0">
      <selection activeCell="C40" sqref="C40"/>
    </sheetView>
  </sheetViews>
  <sheetFormatPr defaultColWidth="9.140625" defaultRowHeight="15" x14ac:dyDescent="0.25"/>
  <cols>
    <col min="1" max="1" width="50" style="118" customWidth="1"/>
    <col min="2" max="2" width="22.5703125" style="118" customWidth="1"/>
    <col min="3" max="3" width="23.85546875" style="118" customWidth="1"/>
    <col min="4" max="4" width="22.42578125" style="118" customWidth="1"/>
    <col min="5" max="5" width="25.42578125" style="118" customWidth="1"/>
    <col min="6" max="6" width="10.85546875" style="118" customWidth="1"/>
    <col min="7" max="7" width="8.42578125" style="118" bestFit="1" customWidth="1"/>
    <col min="8" max="8" width="6.42578125" style="118" customWidth="1"/>
    <col min="9" max="9" width="10.5703125" style="118" customWidth="1"/>
    <col min="10" max="16384" width="9.140625" style="118"/>
  </cols>
  <sheetData>
    <row r="1" spans="1:16" x14ac:dyDescent="0.25">
      <c r="A1" s="117" t="s">
        <v>303</v>
      </c>
    </row>
    <row r="2" spans="1:16" x14ac:dyDescent="0.25">
      <c r="G2" s="230"/>
      <c r="H2" s="230"/>
      <c r="I2" s="230"/>
      <c r="J2" s="230"/>
    </row>
    <row r="3" spans="1:16" x14ac:dyDescent="0.25">
      <c r="A3" s="118" t="s">
        <v>304</v>
      </c>
      <c r="B3" s="412">
        <f>Registrering!C23</f>
        <v>11.04</v>
      </c>
      <c r="D3" s="158"/>
    </row>
    <row r="5" spans="1:16" x14ac:dyDescent="0.25">
      <c r="A5" s="125" t="s">
        <v>305</v>
      </c>
    </row>
    <row r="6" spans="1:16" x14ac:dyDescent="0.25">
      <c r="A6" s="77"/>
    </row>
    <row r="7" spans="1:16" x14ac:dyDescent="0.25">
      <c r="A7" s="119" t="s">
        <v>306</v>
      </c>
      <c r="B7" s="120" t="str">
        <f>Budsjett!F3</f>
        <v>Periode 1 (1-18 month)</v>
      </c>
      <c r="C7" s="120" t="str">
        <f>Budsjett!G3</f>
        <v>Periode 2 (19-36 month)</v>
      </c>
      <c r="D7" s="120" t="str">
        <f>Budsjett!H3</f>
        <v>Periode 3 (37-54 month)</v>
      </c>
      <c r="E7" s="120" t="str">
        <f>Budsjett!I3</f>
        <v>Periode 4 (55-60 (72) month)</v>
      </c>
      <c r="F7" s="120" t="s">
        <v>45</v>
      </c>
    </row>
    <row r="8" spans="1:16" x14ac:dyDescent="0.25">
      <c r="A8" s="118" t="s">
        <v>307</v>
      </c>
      <c r="B8" s="121">
        <f>SUM(Budsjett!BP12+Budsjett!BP20+Budsjett!BP34)/$B$3</f>
        <v>0</v>
      </c>
      <c r="C8" s="121">
        <f>SUM(Budsjett!BQ12+Budsjett!BQ20+Budsjett!BQ34)/$B$3</f>
        <v>0</v>
      </c>
      <c r="D8" s="121">
        <f>SUM(Budsjett!BR12+Budsjett!BR20+Budsjett!BR34)/$B$3</f>
        <v>0</v>
      </c>
      <c r="E8" s="121">
        <f>SUM(Budsjett!BS12+Budsjett!BS20+Budsjett!BS34)/$B$3</f>
        <v>0</v>
      </c>
      <c r="F8" s="226">
        <f>SUM(B8:E8)</f>
        <v>0</v>
      </c>
    </row>
    <row r="9" spans="1:16" x14ac:dyDescent="0.25">
      <c r="A9" s="119" t="s">
        <v>308</v>
      </c>
      <c r="B9" s="120"/>
      <c r="C9" s="120"/>
      <c r="D9" s="120"/>
      <c r="E9" s="120"/>
      <c r="F9" s="120"/>
    </row>
    <row r="10" spans="1:16" x14ac:dyDescent="0.25">
      <c r="A10" s="118" t="s">
        <v>309</v>
      </c>
      <c r="B10" s="121">
        <f>SUM(Budsjett!BP38+Budsjett!BP39+Budsjett!BP40+Budsjett!BP46+Budsjett!BP43)/$B$3</f>
        <v>0</v>
      </c>
      <c r="C10" s="121">
        <f>SUM(Budsjett!BQ38+Budsjett!BQ39+Budsjett!BQ40+Budsjett!BQ46+Budsjett!BQ43)/$B$3</f>
        <v>0</v>
      </c>
      <c r="D10" s="121">
        <f>SUM(Budsjett!BR38+Budsjett!BR39+Budsjett!BR40+Budsjett!BR46+Budsjett!BR43)/$B$3</f>
        <v>0</v>
      </c>
      <c r="E10" s="121">
        <f>SUM(Budsjett!BS38+Budsjett!BS39+Budsjett!BS40+Budsjett!BS46+Budsjett!BS43)/$B$3</f>
        <v>0</v>
      </c>
      <c r="F10" s="226">
        <f>SUM(B10:E10)</f>
        <v>0</v>
      </c>
    </row>
    <row r="11" spans="1:16" s="122" customFormat="1" x14ac:dyDescent="0.25">
      <c r="A11" s="122" t="s">
        <v>310</v>
      </c>
      <c r="B11" s="123">
        <f>Budsjett!BP42/'Budget for the contract'!$B$3</f>
        <v>0</v>
      </c>
      <c r="C11" s="123">
        <f>Budsjett!BQ42/'Budget for the contract'!$B$3</f>
        <v>0</v>
      </c>
      <c r="D11" s="123">
        <f>Budsjett!BR42/'Budget for the contract'!$B$3</f>
        <v>0</v>
      </c>
      <c r="E11" s="123">
        <f>Budsjett!BS42/'Budget for the contract'!$B$3</f>
        <v>0</v>
      </c>
      <c r="F11" s="227">
        <f>SUM(B11:E11)</f>
        <v>0</v>
      </c>
    </row>
    <row r="12" spans="1:16" x14ac:dyDescent="0.25">
      <c r="A12" s="119" t="s">
        <v>311</v>
      </c>
      <c r="B12" s="120"/>
      <c r="C12" s="120"/>
      <c r="D12" s="120"/>
      <c r="E12" s="120"/>
      <c r="F12" s="228"/>
    </row>
    <row r="13" spans="1:16" x14ac:dyDescent="0.25">
      <c r="A13" s="118" t="s">
        <v>312</v>
      </c>
      <c r="B13" s="121">
        <f>Budsjett!BP44/$B$3</f>
        <v>0</v>
      </c>
      <c r="C13" s="121">
        <f>Budsjett!BQ44/$B$3</f>
        <v>0</v>
      </c>
      <c r="D13" s="121">
        <f>Budsjett!BR44/$B$3</f>
        <v>0</v>
      </c>
      <c r="E13" s="121">
        <f>Budsjett!BS44/$B$3</f>
        <v>0</v>
      </c>
      <c r="F13" s="226">
        <f>SUM(B13:E13)</f>
        <v>0</v>
      </c>
    </row>
    <row r="14" spans="1:16" x14ac:dyDescent="0.25">
      <c r="A14" s="118" t="s">
        <v>313</v>
      </c>
      <c r="B14" s="121">
        <f>Budsjett!BP45/$B$3</f>
        <v>0</v>
      </c>
      <c r="C14" s="121">
        <f>Budsjett!BQ45/$B$3</f>
        <v>0</v>
      </c>
      <c r="D14" s="121">
        <f>Budsjett!BR45/$B$3</f>
        <v>0</v>
      </c>
      <c r="E14" s="121">
        <f>Budsjett!BS45/$B$3</f>
        <v>0</v>
      </c>
      <c r="F14" s="226">
        <f>SUM(B14:E14)</f>
        <v>0</v>
      </c>
      <c r="I14" s="230"/>
      <c r="J14" s="230"/>
      <c r="K14" s="230"/>
      <c r="L14" s="230"/>
      <c r="M14" s="230"/>
      <c r="N14" s="230"/>
      <c r="O14" s="230"/>
      <c r="P14" s="203"/>
    </row>
    <row r="15" spans="1:16" x14ac:dyDescent="0.25">
      <c r="A15" s="31" t="s">
        <v>314</v>
      </c>
      <c r="B15" s="115">
        <f>B8+B10+B11+B13+B14</f>
        <v>0</v>
      </c>
      <c r="C15" s="115">
        <f>C8+C10+C11+C13+C14</f>
        <v>0</v>
      </c>
      <c r="D15" s="115">
        <f>D8+D10+D11+D13+D14</f>
        <v>0</v>
      </c>
      <c r="E15" s="115">
        <f>E8+E10+E11+E13+E14</f>
        <v>0</v>
      </c>
      <c r="F15" s="115">
        <f>F8+F10+F11+F13+F14</f>
        <v>0</v>
      </c>
    </row>
    <row r="17" spans="1:18" x14ac:dyDescent="0.25">
      <c r="A17" s="119" t="s">
        <v>305</v>
      </c>
      <c r="B17" s="177"/>
      <c r="C17" s="120"/>
      <c r="D17" s="120"/>
      <c r="E17" s="120"/>
      <c r="F17" s="120"/>
    </row>
    <row r="18" spans="1:18" x14ac:dyDescent="0.25">
      <c r="A18" s="118" t="s">
        <v>314</v>
      </c>
      <c r="B18" s="121">
        <f>B15</f>
        <v>0</v>
      </c>
      <c r="C18" s="121">
        <f>C15</f>
        <v>0</v>
      </c>
      <c r="D18" s="121">
        <f>D15</f>
        <v>0</v>
      </c>
      <c r="E18" s="121">
        <f>E15</f>
        <v>0</v>
      </c>
      <c r="F18" s="121">
        <f>SUM(B18:E18)</f>
        <v>0</v>
      </c>
    </row>
    <row r="19" spans="1:18" x14ac:dyDescent="0.25">
      <c r="A19" s="118" t="s">
        <v>315</v>
      </c>
      <c r="B19" s="121">
        <f>(B8+B10+B11)*0.25</f>
        <v>0</v>
      </c>
      <c r="C19" s="121">
        <f>(C8+C10+C11)*0.25</f>
        <v>0</v>
      </c>
      <c r="D19" s="121">
        <f>(D8+D10+D11)*0.25</f>
        <v>0</v>
      </c>
      <c r="E19" s="121">
        <f>(E8+E10+E11)*0.25</f>
        <v>0</v>
      </c>
      <c r="F19" s="121">
        <f>SUM(B19:E19)</f>
        <v>0</v>
      </c>
      <c r="G19" s="189"/>
    </row>
    <row r="20" spans="1:18" x14ac:dyDescent="0.25">
      <c r="A20" s="31" t="s">
        <v>316</v>
      </c>
      <c r="B20" s="115">
        <f>SUM(B18:B19)</f>
        <v>0</v>
      </c>
      <c r="C20" s="115">
        <f>SUM(C18:C19)</f>
        <v>0</v>
      </c>
      <c r="D20" s="115">
        <f>SUM(D18:D19)</f>
        <v>0</v>
      </c>
      <c r="E20" s="115">
        <f>SUM(E18:E19)</f>
        <v>0</v>
      </c>
      <c r="F20" s="115">
        <f>SUM(B20:E20)</f>
        <v>0</v>
      </c>
      <c r="I20" s="230"/>
      <c r="J20" s="230"/>
      <c r="K20" s="230"/>
      <c r="L20" s="230"/>
      <c r="M20" s="230"/>
      <c r="N20" s="230"/>
      <c r="O20" s="230"/>
    </row>
    <row r="21" spans="1:18" x14ac:dyDescent="0.25">
      <c r="A21" s="31" t="s">
        <v>317</v>
      </c>
      <c r="B21" s="115">
        <f>B20</f>
        <v>0</v>
      </c>
      <c r="C21" s="115">
        <f>C20</f>
        <v>0</v>
      </c>
      <c r="D21" s="115">
        <f>D20</f>
        <v>0</v>
      </c>
      <c r="E21" s="115">
        <f>E20</f>
        <v>0</v>
      </c>
      <c r="F21" s="115">
        <f>SUM(B21:E21)</f>
        <v>0</v>
      </c>
      <c r="G21" s="116"/>
    </row>
    <row r="22" spans="1:18" x14ac:dyDescent="0.25">
      <c r="B22" s="175"/>
      <c r="I22" s="230"/>
      <c r="J22" s="230"/>
      <c r="K22" s="230"/>
    </row>
    <row r="23" spans="1:18" x14ac:dyDescent="0.25">
      <c r="A23" s="118" t="s">
        <v>318</v>
      </c>
      <c r="B23" s="231">
        <f>-B21*$B$3</f>
        <v>0</v>
      </c>
      <c r="C23" s="231">
        <f>-C21*$B$3</f>
        <v>0</v>
      </c>
      <c r="D23" s="231">
        <f>-D21*$B$3</f>
        <v>0</v>
      </c>
      <c r="E23" s="231">
        <f>-E21*$B$3</f>
        <v>0</v>
      </c>
      <c r="F23" s="231">
        <f>SUM(B23:E23)</f>
        <v>0</v>
      </c>
      <c r="I23" s="230"/>
      <c r="J23" s="230"/>
      <c r="K23" s="230"/>
      <c r="L23" s="230"/>
      <c r="M23" s="230"/>
      <c r="N23" s="230"/>
      <c r="O23" s="230"/>
      <c r="P23" s="230"/>
      <c r="Q23" s="230"/>
      <c r="R23" s="230"/>
    </row>
    <row r="24" spans="1:18" x14ac:dyDescent="0.25">
      <c r="B24" s="178"/>
    </row>
    <row r="25" spans="1:18" x14ac:dyDescent="0.25">
      <c r="A25" s="125" t="s">
        <v>319</v>
      </c>
      <c r="B25" s="179"/>
    </row>
    <row r="26" spans="1:18" x14ac:dyDescent="0.25">
      <c r="A26" s="119"/>
      <c r="B26" s="120" t="str">
        <f>B7</f>
        <v>Periode 1 (1-18 month)</v>
      </c>
      <c r="C26" s="120" t="str">
        <f>C7</f>
        <v>Periode 2 (19-36 month)</v>
      </c>
      <c r="D26" s="120" t="str">
        <f>D7</f>
        <v>Periode 3 (37-54 month)</v>
      </c>
      <c r="E26" s="120" t="str">
        <f>E7</f>
        <v>Periode 4 (55-60 (72) month)</v>
      </c>
      <c r="F26" s="120" t="s">
        <v>45</v>
      </c>
    </row>
    <row r="27" spans="1:18" x14ac:dyDescent="0.25">
      <c r="A27" s="118" t="s">
        <v>306</v>
      </c>
      <c r="B27" s="121">
        <f>SUM(Budsjett!BW28)/$B$3</f>
        <v>0</v>
      </c>
      <c r="C27" s="121">
        <f>SUM(Budsjett!BX28)/$B$3</f>
        <v>0</v>
      </c>
      <c r="D27" s="121">
        <f>SUM(Budsjett!BY28)/$B$3</f>
        <v>0</v>
      </c>
      <c r="E27" s="121">
        <f>SUM(Budsjett!BZ28)/$B$3</f>
        <v>0</v>
      </c>
      <c r="F27" s="121">
        <f>SUM(B27:E27)</f>
        <v>0</v>
      </c>
    </row>
    <row r="28" spans="1:18" x14ac:dyDescent="0.25">
      <c r="A28" s="118" t="s">
        <v>308</v>
      </c>
      <c r="B28" s="121">
        <f>(Budsjett!BW47)/$B$3</f>
        <v>0</v>
      </c>
      <c r="C28" s="121">
        <f>(Budsjett!BX47)/$B$3</f>
        <v>0</v>
      </c>
      <c r="D28" s="121">
        <f>(Budsjett!BY47)/$B$3</f>
        <v>0</v>
      </c>
      <c r="E28" s="121">
        <f>(Budsjett!BZ47)/$B$3</f>
        <v>0</v>
      </c>
      <c r="F28" s="121">
        <f>SUM(B28:E28)</f>
        <v>0</v>
      </c>
    </row>
    <row r="29" spans="1:18" x14ac:dyDescent="0.25">
      <c r="A29" s="31" t="s">
        <v>314</v>
      </c>
      <c r="B29" s="115">
        <f>B27+B28</f>
        <v>0</v>
      </c>
      <c r="C29" s="115">
        <f>C27+C28</f>
        <v>0</v>
      </c>
      <c r="D29" s="115">
        <f>D27+D28</f>
        <v>0</v>
      </c>
      <c r="E29" s="115">
        <f>E27+E28</f>
        <v>0</v>
      </c>
      <c r="F29" s="115">
        <f>F27+F28</f>
        <v>0</v>
      </c>
    </row>
    <row r="30" spans="1:18" x14ac:dyDescent="0.25">
      <c r="A30" s="118" t="s">
        <v>320</v>
      </c>
      <c r="B30" s="121">
        <f>'Intern oversikt andel'!C14/$B$3-B19</f>
        <v>0</v>
      </c>
      <c r="C30" s="121">
        <f>'Intern oversikt andel'!D14/$B$3-C19</f>
        <v>0</v>
      </c>
      <c r="D30" s="121">
        <f>'Intern oversikt andel'!E14/$B$3-D19</f>
        <v>0</v>
      </c>
      <c r="E30" s="121">
        <f>'Intern oversikt andel'!F14/$B$3-E19</f>
        <v>0</v>
      </c>
      <c r="F30" s="121">
        <f>SUM(B30:E30)</f>
        <v>0</v>
      </c>
    </row>
    <row r="31" spans="1:18" x14ac:dyDescent="0.25">
      <c r="A31" s="31" t="s">
        <v>321</v>
      </c>
      <c r="B31" s="115">
        <f>B29+B30</f>
        <v>0</v>
      </c>
      <c r="C31" s="115">
        <f>C29+C30</f>
        <v>0</v>
      </c>
      <c r="D31" s="115">
        <f>D29+D30</f>
        <v>0</v>
      </c>
      <c r="E31" s="115">
        <f>E29+E30</f>
        <v>0</v>
      </c>
      <c r="F31" s="115">
        <f>SUM(B31:E31)</f>
        <v>0</v>
      </c>
    </row>
    <row r="33" spans="1:10" x14ac:dyDescent="0.25">
      <c r="A33" s="119" t="s">
        <v>322</v>
      </c>
      <c r="B33" s="120" t="str">
        <f>B7</f>
        <v>Periode 1 (1-18 month)</v>
      </c>
      <c r="C33" s="120" t="str">
        <f>C7</f>
        <v>Periode 2 (19-36 month)</v>
      </c>
      <c r="D33" s="120" t="str">
        <f>D7</f>
        <v>Periode 3 (37-54 month)</v>
      </c>
      <c r="E33" s="120" t="str">
        <f>E7</f>
        <v>Periode 4 (55-60 (72) month)</v>
      </c>
      <c r="F33" s="120" t="s">
        <v>45</v>
      </c>
      <c r="G33" s="120" t="s">
        <v>323</v>
      </c>
    </row>
    <row r="34" spans="1:10" x14ac:dyDescent="0.25">
      <c r="A34" s="31" t="s">
        <v>324</v>
      </c>
      <c r="B34" s="115">
        <f>B31</f>
        <v>0</v>
      </c>
      <c r="C34" s="115">
        <f>C31</f>
        <v>0</v>
      </c>
      <c r="D34" s="115">
        <f>D31</f>
        <v>0</v>
      </c>
      <c r="E34" s="115">
        <f>E31</f>
        <v>0</v>
      </c>
      <c r="F34" s="280">
        <f>SUM(B34:E34)</f>
        <v>0</v>
      </c>
      <c r="G34" s="116" t="e">
        <f>F34/F36*100</f>
        <v>#DIV/0!</v>
      </c>
      <c r="H34" s="118" t="s">
        <v>325</v>
      </c>
    </row>
    <row r="35" spans="1:10" x14ac:dyDescent="0.25">
      <c r="A35" s="31" t="s">
        <v>326</v>
      </c>
      <c r="B35" s="115">
        <f>B21</f>
        <v>0</v>
      </c>
      <c r="C35" s="115">
        <f>C21</f>
        <v>0</v>
      </c>
      <c r="D35" s="115">
        <f>D21</f>
        <v>0</v>
      </c>
      <c r="E35" s="115">
        <f>E21</f>
        <v>0</v>
      </c>
      <c r="F35" s="115">
        <f>SUM(B35:E35)</f>
        <v>0</v>
      </c>
      <c r="G35" s="116" t="e">
        <f>F35/F36*100</f>
        <v>#DIV/0!</v>
      </c>
    </row>
    <row r="36" spans="1:10" x14ac:dyDescent="0.25">
      <c r="A36" s="31" t="s">
        <v>327</v>
      </c>
      <c r="B36" s="115">
        <f>B21+B34</f>
        <v>0</v>
      </c>
      <c r="C36" s="115">
        <f>C21+C34</f>
        <v>0</v>
      </c>
      <c r="D36" s="115">
        <f>D21+D34</f>
        <v>0</v>
      </c>
      <c r="E36" s="115">
        <f>E21+E34</f>
        <v>0</v>
      </c>
      <c r="F36" s="115">
        <f>SUM(B36:E36)</f>
        <v>0</v>
      </c>
      <c r="G36" s="116" t="e">
        <f>F36/F36*100</f>
        <v>#DIV/0!</v>
      </c>
      <c r="J36" s="118">
        <v>1</v>
      </c>
    </row>
    <row r="38" spans="1:10" x14ac:dyDescent="0.25">
      <c r="D38" s="131"/>
    </row>
    <row r="39" spans="1:10" x14ac:dyDescent="0.25">
      <c r="D39" s="131"/>
    </row>
  </sheetData>
  <sheetProtection algorithmName="SHA-512" hashValue="c/awedp+5wZx1EVaT1SZ5jnnz38ni2whXJNHLrWnrWfi4b5BF6x6IkMCWEZ3av6umfnfmd10e54urNYsih/8jQ==" saltValue="goaWER3t3WccHYt4XRzXiQ==" spinCount="100000" sheet="1" objects="1" scenarios="1"/>
  <conditionalFormatting sqref="E23">
    <cfRule type="expression" dxfId="10" priority="5" stopIfTrue="1">
      <formula>#REF!="NEI"</formula>
    </cfRule>
  </conditionalFormatting>
  <conditionalFormatting sqref="B23">
    <cfRule type="expression" dxfId="9" priority="4" stopIfTrue="1">
      <formula>#REF!="NEI"</formula>
    </cfRule>
  </conditionalFormatting>
  <conditionalFormatting sqref="C23">
    <cfRule type="expression" dxfId="8" priority="3" stopIfTrue="1">
      <formula>#REF!="NEI"</formula>
    </cfRule>
  </conditionalFormatting>
  <conditionalFormatting sqref="D23">
    <cfRule type="expression" dxfId="7" priority="2" stopIfTrue="1">
      <formula>#REF!="NEI"</formula>
    </cfRule>
  </conditionalFormatting>
  <conditionalFormatting sqref="F23">
    <cfRule type="expression" dxfId="6" priority="1" stopIfTrue="1">
      <formula>#REF!="NEI"</formula>
    </cfRule>
  </conditionalFormatting>
  <pageMargins left="0.7" right="0.7" top="0.75" bottom="0.75" header="0.3" footer="0.3"/>
  <pageSetup paperSize="9" scale="80" orientation="landscape"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14"/>
  <sheetViews>
    <sheetView workbookViewId="0">
      <selection activeCell="P44" sqref="P44"/>
    </sheetView>
  </sheetViews>
  <sheetFormatPr defaultColWidth="10.85546875" defaultRowHeight="15" x14ac:dyDescent="0.25"/>
  <cols>
    <col min="1" max="16384" width="10.85546875" style="281"/>
  </cols>
  <sheetData>
    <row r="1" spans="1:10" x14ac:dyDescent="0.25">
      <c r="C1" s="440" t="s">
        <v>214</v>
      </c>
      <c r="D1" s="441"/>
      <c r="E1" s="441"/>
      <c r="F1" s="441"/>
      <c r="G1" s="441"/>
      <c r="H1" s="441"/>
      <c r="I1" s="441"/>
      <c r="J1" s="442"/>
    </row>
    <row r="2" spans="1:10" ht="15.75" thickBot="1" x14ac:dyDescent="0.3">
      <c r="C2" s="440" t="s">
        <v>216</v>
      </c>
      <c r="D2" s="441"/>
      <c r="E2" s="441"/>
      <c r="F2" s="441"/>
      <c r="G2" s="441"/>
      <c r="H2" s="441"/>
      <c r="I2" s="441"/>
      <c r="J2" s="442"/>
    </row>
    <row r="3" spans="1:10" ht="15.75" thickBot="1" x14ac:dyDescent="0.3">
      <c r="C3" s="446" t="s">
        <v>328</v>
      </c>
      <c r="D3" s="548"/>
      <c r="E3" s="548"/>
      <c r="F3" s="548"/>
      <c r="G3" s="548"/>
      <c r="H3" s="548"/>
      <c r="I3" s="548"/>
      <c r="J3" s="549"/>
    </row>
    <row r="4" spans="1:10" ht="45" customHeight="1" x14ac:dyDescent="0.25">
      <c r="A4" s="535" t="s">
        <v>228</v>
      </c>
      <c r="B4" s="538" t="s">
        <v>229</v>
      </c>
      <c r="C4" s="492" t="s">
        <v>329</v>
      </c>
      <c r="D4" s="492" t="s">
        <v>330</v>
      </c>
      <c r="E4" s="492" t="s">
        <v>331</v>
      </c>
      <c r="F4" s="492" t="s">
        <v>332</v>
      </c>
      <c r="G4" s="542" t="s">
        <v>333</v>
      </c>
      <c r="H4" s="542" t="s">
        <v>334</v>
      </c>
      <c r="I4" s="492" t="s">
        <v>335</v>
      </c>
      <c r="J4" s="545" t="s">
        <v>336</v>
      </c>
    </row>
    <row r="5" spans="1:10" x14ac:dyDescent="0.25">
      <c r="A5" s="536"/>
      <c r="B5" s="539"/>
      <c r="C5" s="458"/>
      <c r="D5" s="458"/>
      <c r="E5" s="458"/>
      <c r="F5" s="458"/>
      <c r="G5" s="543"/>
      <c r="H5" s="543"/>
      <c r="I5" s="458"/>
      <c r="J5" s="546"/>
    </row>
    <row r="6" spans="1:10" x14ac:dyDescent="0.25">
      <c r="A6" s="536"/>
      <c r="B6" s="539"/>
      <c r="C6" s="458"/>
      <c r="D6" s="458"/>
      <c r="E6" s="458"/>
      <c r="F6" s="458"/>
      <c r="G6" s="543"/>
      <c r="H6" s="543"/>
      <c r="I6" s="458"/>
      <c r="J6" s="546"/>
    </row>
    <row r="7" spans="1:10" x14ac:dyDescent="0.25">
      <c r="A7" s="536"/>
      <c r="B7" s="539"/>
      <c r="C7" s="458"/>
      <c r="D7" s="458"/>
      <c r="E7" s="458"/>
      <c r="F7" s="458"/>
      <c r="G7" s="543"/>
      <c r="H7" s="543"/>
      <c r="I7" s="458"/>
      <c r="J7" s="546"/>
    </row>
    <row r="8" spans="1:10" x14ac:dyDescent="0.25">
      <c r="A8" s="536"/>
      <c r="B8" s="539"/>
      <c r="C8" s="458"/>
      <c r="D8" s="458"/>
      <c r="E8" s="458"/>
      <c r="F8" s="458"/>
      <c r="G8" s="543"/>
      <c r="H8" s="543"/>
      <c r="I8" s="458"/>
      <c r="J8" s="546"/>
    </row>
    <row r="9" spans="1:10" x14ac:dyDescent="0.25">
      <c r="A9" s="536"/>
      <c r="B9" s="539"/>
      <c r="C9" s="458"/>
      <c r="D9" s="458"/>
      <c r="E9" s="458"/>
      <c r="F9" s="458"/>
      <c r="G9" s="543"/>
      <c r="H9" s="543"/>
      <c r="I9" s="458"/>
      <c r="J9" s="546"/>
    </row>
    <row r="10" spans="1:10" x14ac:dyDescent="0.25">
      <c r="A10" s="536"/>
      <c r="B10" s="539"/>
      <c r="C10" s="458"/>
      <c r="D10" s="458"/>
      <c r="E10" s="458"/>
      <c r="F10" s="458"/>
      <c r="G10" s="543"/>
      <c r="H10" s="543"/>
      <c r="I10" s="458"/>
      <c r="J10" s="546"/>
    </row>
    <row r="11" spans="1:10" x14ac:dyDescent="0.25">
      <c r="A11" s="536"/>
      <c r="B11" s="539"/>
      <c r="C11" s="458"/>
      <c r="D11" s="458"/>
      <c r="E11" s="458"/>
      <c r="F11" s="458"/>
      <c r="G11" s="543"/>
      <c r="H11" s="543"/>
      <c r="I11" s="458"/>
      <c r="J11" s="546"/>
    </row>
    <row r="12" spans="1:10" x14ac:dyDescent="0.25">
      <c r="A12" s="536"/>
      <c r="B12" s="539"/>
      <c r="C12" s="458"/>
      <c r="D12" s="458"/>
      <c r="E12" s="458"/>
      <c r="F12" s="458"/>
      <c r="G12" s="543"/>
      <c r="H12" s="543"/>
      <c r="I12" s="458"/>
      <c r="J12" s="546"/>
    </row>
    <row r="13" spans="1:10" ht="15.75" thickBot="1" x14ac:dyDescent="0.3">
      <c r="A13" s="537"/>
      <c r="B13" s="540"/>
      <c r="C13" s="541"/>
      <c r="D13" s="541"/>
      <c r="E13" s="541"/>
      <c r="F13" s="541"/>
      <c r="G13" s="544"/>
      <c r="H13" s="544"/>
      <c r="I13" s="541"/>
      <c r="J13" s="547"/>
    </row>
    <row r="14" spans="1:10" x14ac:dyDescent="0.25">
      <c r="A14" s="295" t="s">
        <v>240</v>
      </c>
      <c r="B14" s="295" t="s">
        <v>241</v>
      </c>
      <c r="C14" s="296">
        <f>Budsjett!M45/Registrering!C23</f>
        <v>0</v>
      </c>
      <c r="D14" s="296">
        <f>Budsjett!M42/Registrering!C23</f>
        <v>0</v>
      </c>
      <c r="E14" s="296"/>
      <c r="F14" s="297"/>
      <c r="G14" s="296"/>
      <c r="H14" s="298"/>
      <c r="I14" s="297"/>
      <c r="J14" s="299"/>
    </row>
  </sheetData>
  <sheetProtection algorithmName="SHA-512" hashValue="SEp6Ydhcq4HckmkDczniHBtQGtVTiD1bNGzmcwjDuFNh9wxujZTxsbI8k1xjbGiQnRNU1YCs5BkMAi+7FZj25g==" saltValue="cIfg1gUnWvvOEtw3gE/Mpw==" spinCount="100000" sheet="1" objects="1" scenarios="1"/>
  <mergeCells count="13">
    <mergeCell ref="H4:H13"/>
    <mergeCell ref="I4:I13"/>
    <mergeCell ref="J4:J13"/>
    <mergeCell ref="C1:J1"/>
    <mergeCell ref="C2:J2"/>
    <mergeCell ref="C3:J3"/>
    <mergeCell ref="F4:F13"/>
    <mergeCell ref="G4:G13"/>
    <mergeCell ref="A4:A13"/>
    <mergeCell ref="B4:B13"/>
    <mergeCell ref="C4:C13"/>
    <mergeCell ref="D4:D13"/>
    <mergeCell ref="E4:E13"/>
  </mergeCells>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8">
    <tabColor theme="0" tint="-0.14999847407452621"/>
    <pageSetUpPr fitToPage="1"/>
  </sheetPr>
  <dimension ref="A3:AD58"/>
  <sheetViews>
    <sheetView zoomScale="55" zoomScaleNormal="55" workbookViewId="0">
      <selection activeCell="J17" sqref="J17"/>
    </sheetView>
  </sheetViews>
  <sheetFormatPr defaultColWidth="9.140625" defaultRowHeight="12.75" outlineLevelCol="1" x14ac:dyDescent="0.2"/>
  <cols>
    <col min="1" max="1" width="6.140625" customWidth="1"/>
    <col min="2" max="2" width="4.42578125" customWidth="1"/>
    <col min="3" max="3" width="13.5703125" customWidth="1"/>
    <col min="5" max="5" width="14" customWidth="1"/>
    <col min="6" max="6" width="11.140625" customWidth="1" outlineLevel="1"/>
    <col min="7" max="7" width="11.5703125" customWidth="1" outlineLevel="1"/>
    <col min="8" max="9" width="12.42578125" customWidth="1" outlineLevel="1"/>
    <col min="10" max="10" width="11.140625" customWidth="1"/>
    <col min="11" max="12" width="11.42578125" customWidth="1"/>
    <col min="14" max="14" width="12.140625" customWidth="1"/>
    <col min="15" max="15" width="10.42578125" customWidth="1"/>
    <col min="19" max="19" width="12" customWidth="1"/>
    <col min="20" max="20" width="10.42578125" customWidth="1"/>
    <col min="21" max="21" width="14" customWidth="1"/>
    <col min="22" max="22" width="12.42578125" customWidth="1"/>
    <col min="23" max="23" width="10.42578125" customWidth="1"/>
    <col min="24" max="24" width="10.5703125" customWidth="1"/>
  </cols>
  <sheetData>
    <row r="3" spans="1:24" ht="15" x14ac:dyDescent="0.25">
      <c r="A3" s="118" t="s">
        <v>304</v>
      </c>
      <c r="C3" s="413">
        <f>'Budget for the contract'!B3</f>
        <v>11.04</v>
      </c>
      <c r="D3" s="5"/>
    </row>
    <row r="4" spans="1:24" ht="15" x14ac:dyDescent="0.25">
      <c r="A4" s="118"/>
      <c r="C4" s="414"/>
      <c r="D4" s="5"/>
    </row>
    <row r="5" spans="1:24" ht="15" x14ac:dyDescent="0.25">
      <c r="A5" s="118"/>
      <c r="B5" s="594" t="s">
        <v>284</v>
      </c>
      <c r="C5" s="594"/>
      <c r="D5" s="594"/>
      <c r="E5" s="595" t="s">
        <v>337</v>
      </c>
      <c r="F5" s="595"/>
      <c r="G5" s="595"/>
      <c r="H5" s="595"/>
      <c r="I5" s="595"/>
      <c r="J5" s="595"/>
      <c r="K5" s="595"/>
      <c r="L5" s="595"/>
      <c r="M5" s="595"/>
      <c r="N5" s="595"/>
      <c r="O5" s="595"/>
      <c r="P5" s="595"/>
      <c r="Q5" s="595"/>
      <c r="R5" s="595"/>
      <c r="S5" s="601" t="s">
        <v>338</v>
      </c>
      <c r="T5" s="601" t="s">
        <v>339</v>
      </c>
      <c r="U5" s="601" t="s">
        <v>340</v>
      </c>
      <c r="V5" s="601" t="s">
        <v>341</v>
      </c>
      <c r="W5" s="601" t="s">
        <v>301</v>
      </c>
      <c r="X5" s="601" t="s">
        <v>217</v>
      </c>
    </row>
    <row r="6" spans="1:24" ht="15" x14ac:dyDescent="0.25">
      <c r="A6" s="118"/>
      <c r="B6" s="594"/>
      <c r="C6" s="594"/>
      <c r="D6" s="594"/>
      <c r="E6" s="596" t="s">
        <v>342</v>
      </c>
      <c r="F6" s="597"/>
      <c r="G6" s="597"/>
      <c r="H6" s="597"/>
      <c r="I6" s="597"/>
      <c r="J6" s="598"/>
      <c r="K6" s="595" t="s">
        <v>343</v>
      </c>
      <c r="L6" s="595"/>
      <c r="M6" s="595"/>
      <c r="N6" s="595"/>
      <c r="O6" s="595"/>
      <c r="P6" s="595"/>
      <c r="Q6" s="595"/>
      <c r="R6" s="600" t="s">
        <v>344</v>
      </c>
      <c r="S6" s="602"/>
      <c r="T6" s="602"/>
      <c r="U6" s="602"/>
      <c r="V6" s="602"/>
      <c r="W6" s="602"/>
      <c r="X6" s="602"/>
    </row>
    <row r="7" spans="1:24" ht="15" x14ac:dyDescent="0.25">
      <c r="A7" s="118"/>
      <c r="B7" s="594"/>
      <c r="C7" s="594"/>
      <c r="D7" s="594"/>
      <c r="E7" s="599" t="s">
        <v>345</v>
      </c>
      <c r="F7" s="599" t="s">
        <v>286</v>
      </c>
      <c r="G7" s="599" t="s">
        <v>287</v>
      </c>
      <c r="H7" s="599" t="s">
        <v>288</v>
      </c>
      <c r="I7" s="600" t="s">
        <v>346</v>
      </c>
      <c r="J7" s="600" t="s">
        <v>347</v>
      </c>
      <c r="K7" s="600" t="s">
        <v>348</v>
      </c>
      <c r="L7" s="600" t="s">
        <v>349</v>
      </c>
      <c r="M7" s="594" t="s">
        <v>350</v>
      </c>
      <c r="N7" s="594"/>
      <c r="O7" s="594"/>
      <c r="P7" s="594"/>
      <c r="Q7" s="600" t="s">
        <v>351</v>
      </c>
      <c r="R7" s="600"/>
      <c r="S7" s="602"/>
      <c r="T7" s="602"/>
      <c r="U7" s="602"/>
      <c r="V7" s="602"/>
      <c r="W7" s="602"/>
      <c r="X7" s="602"/>
    </row>
    <row r="8" spans="1:24" ht="15" x14ac:dyDescent="0.25">
      <c r="A8" s="118"/>
      <c r="B8" s="594"/>
      <c r="C8" s="594"/>
      <c r="D8" s="594"/>
      <c r="E8" s="599"/>
      <c r="F8" s="599"/>
      <c r="G8" s="599"/>
      <c r="H8" s="599"/>
      <c r="I8" s="600"/>
      <c r="J8" s="600"/>
      <c r="K8" s="600"/>
      <c r="L8" s="600"/>
      <c r="M8" s="594"/>
      <c r="N8" s="594"/>
      <c r="O8" s="594"/>
      <c r="P8" s="594"/>
      <c r="Q8" s="600"/>
      <c r="R8" s="600"/>
      <c r="S8" s="602"/>
      <c r="T8" s="602"/>
      <c r="U8" s="602"/>
      <c r="V8" s="602"/>
      <c r="W8" s="602"/>
      <c r="X8" s="602"/>
    </row>
    <row r="9" spans="1:24" ht="15" x14ac:dyDescent="0.25">
      <c r="A9" s="118"/>
      <c r="B9" s="594"/>
      <c r="C9" s="594"/>
      <c r="D9" s="594"/>
      <c r="E9" s="599"/>
      <c r="F9" s="599"/>
      <c r="G9" s="599"/>
      <c r="H9" s="599"/>
      <c r="I9" s="600"/>
      <c r="J9" s="600"/>
      <c r="K9" s="600"/>
      <c r="L9" s="600"/>
      <c r="M9" s="600" t="s">
        <v>294</v>
      </c>
      <c r="N9" s="600" t="s">
        <v>295</v>
      </c>
      <c r="O9" s="600" t="s">
        <v>296</v>
      </c>
      <c r="P9" s="600" t="s">
        <v>352</v>
      </c>
      <c r="Q9" s="600"/>
      <c r="R9" s="600"/>
      <c r="S9" s="602"/>
      <c r="T9" s="602"/>
      <c r="U9" s="602"/>
      <c r="V9" s="602"/>
      <c r="W9" s="602"/>
      <c r="X9" s="602"/>
    </row>
    <row r="10" spans="1:24" ht="15" x14ac:dyDescent="0.25">
      <c r="A10" s="118"/>
      <c r="B10" s="594"/>
      <c r="C10" s="594"/>
      <c r="D10" s="594"/>
      <c r="E10" s="599"/>
      <c r="F10" s="599"/>
      <c r="G10" s="599"/>
      <c r="H10" s="599"/>
      <c r="I10" s="600"/>
      <c r="J10" s="600"/>
      <c r="K10" s="600"/>
      <c r="L10" s="600"/>
      <c r="M10" s="600"/>
      <c r="N10" s="600"/>
      <c r="O10" s="600"/>
      <c r="P10" s="600"/>
      <c r="Q10" s="600"/>
      <c r="R10" s="600"/>
      <c r="S10" s="602"/>
      <c r="T10" s="602"/>
      <c r="U10" s="602"/>
      <c r="V10" s="602"/>
      <c r="W10" s="602"/>
      <c r="X10" s="602"/>
    </row>
    <row r="11" spans="1:24" ht="76.5" customHeight="1" x14ac:dyDescent="0.25">
      <c r="A11" s="118"/>
      <c r="B11" s="594"/>
      <c r="C11" s="594"/>
      <c r="D11" s="594"/>
      <c r="E11" s="599"/>
      <c r="F11" s="599"/>
      <c r="G11" s="599"/>
      <c r="H11" s="599"/>
      <c r="I11" s="600"/>
      <c r="J11" s="600"/>
      <c r="K11" s="600"/>
      <c r="L11" s="600"/>
      <c r="M11" s="600"/>
      <c r="N11" s="600"/>
      <c r="O11" s="600"/>
      <c r="P11" s="600"/>
      <c r="Q11" s="600"/>
      <c r="R11" s="600"/>
      <c r="S11" s="603"/>
      <c r="T11" s="603"/>
      <c r="U11" s="603"/>
      <c r="V11" s="603"/>
      <c r="W11" s="603"/>
      <c r="X11" s="603"/>
    </row>
    <row r="12" spans="1:24" ht="15" x14ac:dyDescent="0.25">
      <c r="A12" s="118"/>
      <c r="B12" s="604" t="s">
        <v>353</v>
      </c>
      <c r="C12" s="604"/>
      <c r="D12" s="604"/>
      <c r="E12" s="277">
        <f>F25+G25+H25+I25</f>
        <v>0</v>
      </c>
      <c r="F12" s="277">
        <f>F26+G26+H26+I26</f>
        <v>0</v>
      </c>
      <c r="G12" s="277">
        <f>F27+G27+H27+I27</f>
        <v>0</v>
      </c>
      <c r="H12" s="277">
        <f>F28+G28+H28+I28</f>
        <v>0</v>
      </c>
      <c r="I12" s="277">
        <f>F29+G29+H29+I29</f>
        <v>0</v>
      </c>
      <c r="J12" s="278">
        <f>SUM(E12:I12)</f>
        <v>0</v>
      </c>
      <c r="K12" s="277">
        <f>F31+G31+H31+I31</f>
        <v>0</v>
      </c>
      <c r="L12" s="277">
        <f>F32+G32+H32+I32</f>
        <v>0</v>
      </c>
      <c r="M12" s="277">
        <f>F33+G33+H33+I33</f>
        <v>0</v>
      </c>
      <c r="N12" s="277">
        <f>F34+G34+H34+I34</f>
        <v>0</v>
      </c>
      <c r="O12" s="277">
        <f>F35+G35+H35+I35</f>
        <v>0</v>
      </c>
      <c r="P12" s="278">
        <f>SUM(M12:O12)</f>
        <v>0</v>
      </c>
      <c r="Q12" s="278">
        <f>SUM(K12:O12)</f>
        <v>0</v>
      </c>
      <c r="R12" s="276"/>
      <c r="S12" s="278">
        <f>J12+Q12+R12</f>
        <v>0</v>
      </c>
      <c r="T12" s="279">
        <f>F38+G38+H38+I38</f>
        <v>0</v>
      </c>
      <c r="U12" s="279">
        <f>F39+G39+H39+I39</f>
        <v>0</v>
      </c>
      <c r="V12" s="279">
        <f>F40+G40+H40+I40</f>
        <v>0</v>
      </c>
      <c r="W12" s="277">
        <f>S12+T12+U12+V12</f>
        <v>0</v>
      </c>
      <c r="X12" s="277">
        <f>S12+T12+U12</f>
        <v>0</v>
      </c>
    </row>
    <row r="13" spans="1:24" ht="15" x14ac:dyDescent="0.25">
      <c r="A13" s="118"/>
      <c r="B13" s="605" t="s">
        <v>354</v>
      </c>
      <c r="C13" s="606"/>
      <c r="D13" s="607"/>
      <c r="E13" s="277"/>
      <c r="F13" s="277"/>
      <c r="G13" s="277"/>
      <c r="H13" s="277"/>
      <c r="I13" s="277"/>
      <c r="J13" s="278"/>
      <c r="K13" s="277"/>
      <c r="L13" s="277"/>
      <c r="M13" s="277"/>
      <c r="N13" s="277"/>
      <c r="O13" s="277"/>
      <c r="P13" s="278"/>
      <c r="Q13" s="278"/>
      <c r="R13" s="276"/>
      <c r="S13" s="278"/>
      <c r="T13" s="279"/>
      <c r="U13" s="279"/>
      <c r="V13" s="279"/>
      <c r="W13" s="277"/>
      <c r="X13" s="277"/>
    </row>
    <row r="14" spans="1:24" ht="15" x14ac:dyDescent="0.25">
      <c r="A14" s="118"/>
      <c r="B14" s="605" t="s">
        <v>355</v>
      </c>
      <c r="C14" s="606"/>
      <c r="D14" s="607"/>
      <c r="E14" s="277"/>
      <c r="F14" s="277"/>
      <c r="G14" s="277"/>
      <c r="H14" s="277"/>
      <c r="I14" s="277"/>
      <c r="J14" s="278"/>
      <c r="K14" s="277"/>
      <c r="L14" s="277"/>
      <c r="M14" s="277"/>
      <c r="N14" s="277"/>
      <c r="O14" s="277"/>
      <c r="P14" s="278"/>
      <c r="Q14" s="278"/>
      <c r="R14" s="276"/>
      <c r="S14" s="278"/>
      <c r="T14" s="279"/>
      <c r="U14" s="279"/>
      <c r="V14" s="279"/>
      <c r="W14" s="277"/>
      <c r="X14" s="277"/>
    </row>
    <row r="15" spans="1:24" ht="15" x14ac:dyDescent="0.25">
      <c r="A15" s="118"/>
      <c r="B15" s="605" t="s">
        <v>356</v>
      </c>
      <c r="C15" s="606"/>
      <c r="D15" s="607"/>
      <c r="E15" s="277"/>
      <c r="F15" s="277"/>
      <c r="G15" s="277"/>
      <c r="H15" s="277"/>
      <c r="I15" s="277"/>
      <c r="J15" s="278"/>
      <c r="K15" s="277"/>
      <c r="L15" s="277"/>
      <c r="M15" s="277"/>
      <c r="N15" s="277"/>
      <c r="O15" s="277"/>
      <c r="P15" s="278"/>
      <c r="Q15" s="278"/>
      <c r="R15" s="276"/>
      <c r="S15" s="278"/>
      <c r="T15" s="279"/>
      <c r="U15" s="279"/>
      <c r="V15" s="279"/>
      <c r="W15" s="277"/>
      <c r="X15" s="277"/>
    </row>
    <row r="16" spans="1:24" ht="15" x14ac:dyDescent="0.25">
      <c r="A16" s="118"/>
      <c r="B16" s="605" t="s">
        <v>357</v>
      </c>
      <c r="C16" s="606"/>
      <c r="D16" s="607"/>
      <c r="E16" s="277"/>
      <c r="F16" s="277"/>
      <c r="G16" s="277"/>
      <c r="H16" s="277"/>
      <c r="I16" s="277"/>
      <c r="J16" s="278"/>
      <c r="K16" s="277"/>
      <c r="L16" s="277"/>
      <c r="M16" s="277"/>
      <c r="N16" s="277"/>
      <c r="O16" s="277"/>
      <c r="P16" s="278"/>
      <c r="Q16" s="278"/>
      <c r="R16" s="276"/>
      <c r="S16" s="278"/>
      <c r="T16" s="279"/>
      <c r="U16" s="279"/>
      <c r="V16" s="279"/>
      <c r="W16" s="277"/>
      <c r="X16" s="277"/>
    </row>
    <row r="17" spans="1:30" ht="15" x14ac:dyDescent="0.25">
      <c r="A17" s="118"/>
      <c r="B17" s="604" t="s">
        <v>271</v>
      </c>
      <c r="C17" s="604"/>
      <c r="D17" s="604"/>
      <c r="E17" s="278">
        <f>E12</f>
        <v>0</v>
      </c>
      <c r="F17" s="278">
        <f t="shared" ref="F17:X17" si="0">F12</f>
        <v>0</v>
      </c>
      <c r="G17" s="278">
        <f t="shared" si="0"/>
        <v>0</v>
      </c>
      <c r="H17" s="278">
        <f t="shared" si="0"/>
        <v>0</v>
      </c>
      <c r="I17" s="278">
        <f t="shared" si="0"/>
        <v>0</v>
      </c>
      <c r="J17" s="278">
        <f t="shared" si="0"/>
        <v>0</v>
      </c>
      <c r="K17" s="278">
        <f t="shared" si="0"/>
        <v>0</v>
      </c>
      <c r="L17" s="278">
        <f t="shared" si="0"/>
        <v>0</v>
      </c>
      <c r="M17" s="278">
        <f t="shared" si="0"/>
        <v>0</v>
      </c>
      <c r="N17" s="278">
        <f t="shared" si="0"/>
        <v>0</v>
      </c>
      <c r="O17" s="278">
        <f t="shared" si="0"/>
        <v>0</v>
      </c>
      <c r="P17" s="278">
        <f t="shared" si="0"/>
        <v>0</v>
      </c>
      <c r="Q17" s="278">
        <f t="shared" si="0"/>
        <v>0</v>
      </c>
      <c r="R17" s="278">
        <f t="shared" si="0"/>
        <v>0</v>
      </c>
      <c r="S17" s="278">
        <f t="shared" si="0"/>
        <v>0</v>
      </c>
      <c r="T17" s="278">
        <f t="shared" si="0"/>
        <v>0</v>
      </c>
      <c r="U17" s="278">
        <f t="shared" si="0"/>
        <v>0</v>
      </c>
      <c r="V17" s="278">
        <f t="shared" si="0"/>
        <v>0</v>
      </c>
      <c r="W17" s="278">
        <f t="shared" si="0"/>
        <v>0</v>
      </c>
      <c r="X17" s="278">
        <f t="shared" si="0"/>
        <v>0</v>
      </c>
    </row>
    <row r="18" spans="1:30" ht="15" x14ac:dyDescent="0.25">
      <c r="A18" s="118"/>
      <c r="C18" s="414"/>
      <c r="D18" s="5"/>
    </row>
    <row r="19" spans="1:30" ht="15" x14ac:dyDescent="0.25">
      <c r="A19" s="118"/>
      <c r="C19" s="414"/>
      <c r="D19" s="5"/>
    </row>
    <row r="20" spans="1:30" ht="15" x14ac:dyDescent="0.25">
      <c r="A20" s="118"/>
      <c r="C20" s="414"/>
      <c r="D20" s="5"/>
    </row>
    <row r="21" spans="1:30" ht="15" x14ac:dyDescent="0.25">
      <c r="A21" s="118"/>
      <c r="C21" s="414"/>
      <c r="D21" s="5"/>
    </row>
    <row r="23" spans="1:30" ht="13.5" thickBot="1" x14ac:dyDescent="0.25">
      <c r="A23" s="564" t="s">
        <v>358</v>
      </c>
      <c r="B23" s="565"/>
      <c r="C23" s="565"/>
      <c r="D23" s="565"/>
      <c r="E23" s="566"/>
    </row>
    <row r="24" spans="1:30" ht="15.75" customHeight="1" thickTop="1" thickBot="1" x14ac:dyDescent="0.3">
      <c r="A24" s="577" t="s">
        <v>359</v>
      </c>
      <c r="B24" s="578"/>
      <c r="C24" s="578"/>
      <c r="D24" s="578"/>
      <c r="E24" s="579"/>
      <c r="F24" s="268" t="str">
        <f>Budsjett!F3</f>
        <v>Periode 1 (1-18 month)</v>
      </c>
      <c r="G24" s="268" t="str">
        <f>Budsjett!G3</f>
        <v>Periode 2 (19-36 month)</v>
      </c>
      <c r="H24" s="268" t="str">
        <f>Budsjett!H3</f>
        <v>Periode 3 (37-54 month)</v>
      </c>
      <c r="I24" s="268" t="s">
        <v>360</v>
      </c>
      <c r="J24" s="170" t="s">
        <v>361</v>
      </c>
      <c r="K24" s="206"/>
      <c r="L24" s="210" t="s">
        <v>362</v>
      </c>
      <c r="M24" s="211"/>
      <c r="N24" s="211"/>
      <c r="O24" s="211"/>
      <c r="P24" s="211"/>
      <c r="Q24" s="211"/>
    </row>
    <row r="25" spans="1:30" ht="16.5" customHeight="1" x14ac:dyDescent="0.25">
      <c r="A25" s="580" t="s">
        <v>337</v>
      </c>
      <c r="B25" s="581"/>
      <c r="C25" s="562" t="s">
        <v>342</v>
      </c>
      <c r="D25" s="574" t="s">
        <v>285</v>
      </c>
      <c r="E25" s="575"/>
      <c r="F25" s="171">
        <f>(IFERROR(VLOOKUP($D25,Budsjett!$B$4:$AO$4,37,FALSE),0)+IFERROR(VLOOKUP($D25,Budsjett!$B$5:$AO$5,37,FALSE),0)+IFERROR(VLOOKUP($D25,Budsjett!$B$6:$AO$6,37,FALSE),0)+IFERROR(VLOOKUP($D25,Budsjett!$B$7:$AO$7,37,FALSE),0)+IFERROR(VLOOKUP($D25,Budsjett!$B$8:$AO$8,37,FALSE),0)+IFERROR(VLOOKUP($D25,Budsjett!$B$9:$AO$9,37,FALSE),0)+IFERROR(VLOOKUP($D25,Budsjett!$B$10:$AO$10,37,FALSE),0)+IFERROR(VLOOKUP($D25,Budsjett!$B$11:$AO$11,37,FALSE),0)+IFERROR(VLOOKUP($D25,Budsjett!$B$14:$AO$14,37,FALSE),0)+IFERROR(VLOOKUP($D25,Budsjett!$B$15:$AO$15,37,FALSE),0)+IFERROR(VLOOKUP($D25,Budsjett!$B$16:$AO$16,37,FALSE),0)+IFERROR(VLOOKUP($D25,Budsjett!$B$17:$AO$17,37,FALSE),0)+IFERROR(VLOOKUP($D25,Budsjett!$B$18:$AO$18,37,FALSE),0)+IFERROR(VLOOKUP($D25,Budsjett!$B$19:$AO$19,37,FALSE),0))/$C$3</f>
        <v>0</v>
      </c>
      <c r="G25" s="171">
        <f>(IFERROR(VLOOKUP($D25,Budsjett!$B$4:$AO$4,38,FALSE),0)+IFERROR(VLOOKUP($D25,Budsjett!$B$5:$AO$5,38,FALSE),0)+IFERROR(VLOOKUP($D25,Budsjett!$B$6:$AO$6,38,FALSE),0)+IFERROR(VLOOKUP($D25,Budsjett!$B$7:$AO$7,38,FALSE),0)+IFERROR(VLOOKUP($D25,Budsjett!$B$8:$AO$8,38,FALSE),0)+IFERROR(VLOOKUP($D25,Budsjett!$B$9:$AO$9,38,FALSE),0)+IFERROR(VLOOKUP($D25,Budsjett!$B$10:$AO$10,38,FALSE),0)+IFERROR(VLOOKUP($D25,Budsjett!$B$11:$AO$11,38,FALSE),0)+IFERROR(VLOOKUP($D25,Budsjett!$B$14:$AO$14,38,FALSE),0)+IFERROR(VLOOKUP($D25,Budsjett!$B$15:$AO$15,38,FALSE),0)+IFERROR(VLOOKUP($D25,Budsjett!$B$16:$AO$16,38,FALSE),0)+IFERROR(VLOOKUP($D25,Budsjett!$B$17:$AO$17,38,FALSE),0)+IFERROR(VLOOKUP($D25,Budsjett!$B$18:$AO$18,38,FALSE),0)+IFERROR(VLOOKUP($D25,Budsjett!$B$19:$AO$19,38,FALSE),0))/$C$3</f>
        <v>0</v>
      </c>
      <c r="H25" s="171">
        <f>(IFERROR(VLOOKUP($D25,Budsjett!$B$4:$AO$4,39,FALSE),0)+IFERROR(VLOOKUP($D25,Budsjett!$B$5:$AO$5,39,FALSE),0)+IFERROR(VLOOKUP($D25,Budsjett!$B$6:$AO$6,39,FALSE),0)+IFERROR(VLOOKUP($D25,Budsjett!$B$7:$AO$7,39,FALSE),0)+IFERROR(VLOOKUP($D25,Budsjett!$B$8:$AO$8,39,FALSE),0)+IFERROR(VLOOKUP($D25,Budsjett!$B$9:$AO$9,39,FALSE),0)+IFERROR(VLOOKUP($D25,Budsjett!$B$10:$AO$10,39,FALSE),0)+IFERROR(VLOOKUP($D25,Budsjett!$B$11:$AO$11,39,FALSE),0)+IFERROR(VLOOKUP($D25,Budsjett!$B$14:$AO$14,39,FALSE),0)+IFERROR(VLOOKUP($D25,Budsjett!$B$15:$AO$15,39,FALSE),0)+IFERROR(VLOOKUP($D25,Budsjett!$B$16:$AO$16,39,FALSE),0)+IFERROR(VLOOKUP($D25,Budsjett!$B$17:$AO$17,39,FALSE),0)+IFERROR(VLOOKUP($D25,Budsjett!$B$18:$AO$18,39,FALSE),0)+IFERROR(VLOOKUP($D25,Budsjett!$B$19:$AO$19,39,FALSE),0))/$C$3</f>
        <v>0</v>
      </c>
      <c r="I25" s="171">
        <f>(IFERROR(VLOOKUP($D25,Budsjett!$B$4:$AO$4,40,FALSE),0)+IFERROR(VLOOKUP($D25,Budsjett!$B$5:$AO$5,40,FALSE),0)+IFERROR(VLOOKUP($D25,Budsjett!$B$6:$AO$6,40,FALSE),0)+IFERROR(VLOOKUP($D25,Budsjett!$B$7:$AO$7,40,FALSE),0)+IFERROR(VLOOKUP($D25,Budsjett!$B$8:$AO$8,40,FALSE),0)+IFERROR(VLOOKUP($D25,Budsjett!$B$9:$AO$9,40,FALSE),0)+IFERROR(VLOOKUP($D25,Budsjett!$B$10:$AO$10,40,FALSE),0)+IFERROR(VLOOKUP($D25,Budsjett!$B$11:$AO$11,40,FALSE),0)+IFERROR(VLOOKUP($D25,Budsjett!$B$14:$AO$14,40,FALSE),0)+IFERROR(VLOOKUP($D25,Budsjett!$B$15:$AO$15,40,FALSE),0)+IFERROR(VLOOKUP($D25,Budsjett!$B$16:$AO$16,40,FALSE),0)+IFERROR(VLOOKUP($D25,Budsjett!$B$17:$AO$17,40,FALSE),0)+IFERROR(VLOOKUP($D25,Budsjett!$B$18:$AO$18,40,FALSE),0)+IFERROR(VLOOKUP($D25,Budsjett!$B$19:$AO$19,40,FALSE),0))/$C$3</f>
        <v>0</v>
      </c>
      <c r="J25" s="266">
        <f>IFERROR(SUM(F25:I25),0)</f>
        <v>0</v>
      </c>
      <c r="K25" s="207"/>
      <c r="L25" s="215" t="s">
        <v>180</v>
      </c>
      <c r="M25" s="216"/>
      <c r="N25" s="216"/>
      <c r="O25" s="216"/>
      <c r="P25" s="216"/>
      <c r="Q25" s="216"/>
    </row>
    <row r="26" spans="1:30" ht="15.75" x14ac:dyDescent="0.25">
      <c r="A26" s="582"/>
      <c r="B26" s="583"/>
      <c r="C26" s="563"/>
      <c r="D26" s="572" t="s">
        <v>286</v>
      </c>
      <c r="E26" s="573"/>
      <c r="F26" s="171">
        <f>(IFERROR(VLOOKUP($D26,Budsjett!$B$4:$AO$4,37,FALSE),0)+IFERROR(VLOOKUP($D26,Budsjett!$B$5:$AO$5,37,FALSE),0)+IFERROR(VLOOKUP($D26,Budsjett!$B$6:$AO$6,37,FALSE),0)+IFERROR(VLOOKUP($D26,Budsjett!$B$7:$AO$7,37,FALSE),0)+IFERROR(VLOOKUP($D26,Budsjett!$B$8:$AO$8,37,FALSE),0)+IFERROR(VLOOKUP($D26,Budsjett!$B$9:$AO$9,37,FALSE),0)+IFERROR(VLOOKUP($D26,Budsjett!$B$10:$AO$10,37,FALSE),0)+IFERROR(VLOOKUP($D26,Budsjett!$B$11:$AO$11,37,FALSE),0)+IFERROR(VLOOKUP($D26,Budsjett!$B$14:$AO$14,37,FALSE),0)+IFERROR(VLOOKUP($D26,Budsjett!$B$15:$AO$15,37,FALSE),0)+IFERROR(VLOOKUP($D26,Budsjett!$B$16:$AO$16,37,FALSE),0)+IFERROR(VLOOKUP($D26,Budsjett!$B$17:$AO$17,37,FALSE),0)+IFERROR(VLOOKUP($D26,Budsjett!$B$18:$AO$18,37,FALSE),0)+IFERROR(VLOOKUP($D26,Budsjett!$B$19:$AO$19,37,FALSE),0))/$C$3</f>
        <v>0</v>
      </c>
      <c r="G26" s="171">
        <f>(IFERROR(VLOOKUP($D26,Budsjett!$B$4:$AO$4,38,FALSE),0)+IFERROR(VLOOKUP($D26,Budsjett!$B$5:$AO$5,38,FALSE),0)+IFERROR(VLOOKUP($D26,Budsjett!$B$6:$AO$6,38,FALSE),0)+IFERROR(VLOOKUP($D26,Budsjett!$B$7:$AO$7,38,FALSE),0)+IFERROR(VLOOKUP($D26,Budsjett!$B$8:$AO$8,38,FALSE),0)+IFERROR(VLOOKUP($D26,Budsjett!$B$9:$AO$9,38,FALSE),0)+IFERROR(VLOOKUP($D26,Budsjett!$B$10:$AO$10,38,FALSE),0)+IFERROR(VLOOKUP($D26,Budsjett!$B$11:$AO$11,38,FALSE),0)+IFERROR(VLOOKUP($D26,Budsjett!$B$14:$AO$14,38,FALSE),0)+IFERROR(VLOOKUP($D26,Budsjett!$B$15:$AO$15,38,FALSE),0)+IFERROR(VLOOKUP($D26,Budsjett!$B$16:$AO$16,38,FALSE),0)+IFERROR(VLOOKUP($D26,Budsjett!$B$17:$AO$17,38,FALSE),0)+IFERROR(VLOOKUP($D26,Budsjett!$B$18:$AO$18,38,FALSE),0)+IFERROR(VLOOKUP($D26,Budsjett!$B$19:$AO$19,38,FALSE),0))/$C$3</f>
        <v>0</v>
      </c>
      <c r="H26" s="171">
        <f>(IFERROR(VLOOKUP($D26,Budsjett!$B$4:$AO$4,39,FALSE),0)+IFERROR(VLOOKUP($D26,Budsjett!$B$5:$AO$5,39,FALSE),0)+IFERROR(VLOOKUP($D26,Budsjett!$B$6:$AO$6,39,FALSE),0)+IFERROR(VLOOKUP($D26,Budsjett!$B$7:$AO$7,39,FALSE),0)+IFERROR(VLOOKUP($D26,Budsjett!$B$8:$AO$8,39,FALSE),0)+IFERROR(VLOOKUP($D26,Budsjett!$B$9:$AO$9,39,FALSE),0)+IFERROR(VLOOKUP($D26,Budsjett!$B$10:$AO$10,39,FALSE),0)+IFERROR(VLOOKUP($D26,Budsjett!$B$11:$AO$11,39,FALSE),0)+IFERROR(VLOOKUP($D26,Budsjett!$B$14:$AO$14,39,FALSE),0)+IFERROR(VLOOKUP($D26,Budsjett!$B$15:$AO$15,39,FALSE),0)+IFERROR(VLOOKUP($D26,Budsjett!$B$16:$AO$16,39,FALSE),0)+IFERROR(VLOOKUP($D26,Budsjett!$B$17:$AO$17,39,FALSE),0)+IFERROR(VLOOKUP($D26,Budsjett!$B$18:$AO$18,39,FALSE),0)+IFERROR(VLOOKUP($D26,Budsjett!$B$19:$AO$19,39,FALSE),0))/$C$3</f>
        <v>0</v>
      </c>
      <c r="I26" s="171">
        <f>(IFERROR(VLOOKUP($D26,Budsjett!$B$4:$AO$4,40,FALSE),0)+IFERROR(VLOOKUP($D26,Budsjett!$B$5:$AO$5,40,FALSE),0)+IFERROR(VLOOKUP($D26,Budsjett!$B$6:$AO$6,40,FALSE),0)+IFERROR(VLOOKUP($D26,Budsjett!$B$7:$AO$7,40,FALSE),0)+IFERROR(VLOOKUP($D26,Budsjett!$B$8:$AO$8,40,FALSE),0)+IFERROR(VLOOKUP($D26,Budsjett!$B$9:$AO$9,40,FALSE),0)+IFERROR(VLOOKUP($D26,Budsjett!$B$10:$AO$10,40,FALSE),0)+IFERROR(VLOOKUP($D26,Budsjett!$B$11:$AO$11,40,FALSE),0)+IFERROR(VLOOKUP($D26,Budsjett!$B$14:$AO$14,40,FALSE),0)+IFERROR(VLOOKUP($D26,Budsjett!$B$15:$AO$15,40,FALSE),0)+IFERROR(VLOOKUP($D26,Budsjett!$B$16:$AO$16,40,FALSE),0)+IFERROR(VLOOKUP($D26,Budsjett!$B$17:$AO$17,40,FALSE),0)+IFERROR(VLOOKUP($D26,Budsjett!$B$18:$AO$18,40,FALSE),0)+IFERROR(VLOOKUP($D26,Budsjett!$B$19:$AO$19,40,FALSE),0))/$C$3</f>
        <v>0</v>
      </c>
      <c r="J26" s="267">
        <f t="shared" ref="J26:J42" si="1">SUM(F26:I26)</f>
        <v>0</v>
      </c>
      <c r="K26" s="207"/>
      <c r="L26" s="220" t="s">
        <v>363</v>
      </c>
      <c r="M26" s="205"/>
      <c r="N26" s="205"/>
      <c r="O26" s="205"/>
      <c r="P26" s="205"/>
      <c r="Q26" s="205"/>
    </row>
    <row r="27" spans="1:30" ht="15.75" customHeight="1" x14ac:dyDescent="0.25">
      <c r="A27" s="582"/>
      <c r="B27" s="583"/>
      <c r="C27" s="563"/>
      <c r="D27" s="572" t="s">
        <v>287</v>
      </c>
      <c r="E27" s="573"/>
      <c r="F27" s="171">
        <f>(IFERROR(VLOOKUP($D27,Budsjett!$B$4:$AO$4,37,FALSE),0)+IFERROR(VLOOKUP($D27,Budsjett!$B$5:$AO$5,37,FALSE),0)+IFERROR(VLOOKUP($D27,Budsjett!$B$6:$AO$6,37,FALSE),0)+IFERROR(VLOOKUP($D27,Budsjett!$B$7:$AO$7,37,FALSE),0)+IFERROR(VLOOKUP($D27,Budsjett!$B$8:$AO$8,37,FALSE),0)+IFERROR(VLOOKUP($D27,Budsjett!$B$9:$AO$9,37,FALSE),0)+IFERROR(VLOOKUP($D27,Budsjett!$B$10:$AO$10,37,FALSE),0)+IFERROR(VLOOKUP($D27,Budsjett!$B$11:$AO$11,37,FALSE),0)+IFERROR(VLOOKUP($D27,Budsjett!$B$14:$AO$14,37,FALSE),0)+IFERROR(VLOOKUP($D27,Budsjett!$B$15:$AO$15,37,FALSE),0)+IFERROR(VLOOKUP($D27,Budsjett!$B$16:$AO$16,37,FALSE),0)+IFERROR(VLOOKUP($D27,Budsjett!$B$17:$AO$17,37,FALSE),0)+IFERROR(VLOOKUP($D27,Budsjett!$B$18:$AO$18,37,FALSE),0)+IFERROR(VLOOKUP($D27,Budsjett!$B$19:$AO$19,37,FALSE),0))/$C$3</f>
        <v>0</v>
      </c>
      <c r="G27" s="171">
        <f>(IFERROR(VLOOKUP($D27,Budsjett!$B$4:$AO$4,38,FALSE),0)+IFERROR(VLOOKUP($D27,Budsjett!$B$5:$AO$5,38,FALSE),0)+IFERROR(VLOOKUP($D27,Budsjett!$B$6:$AO$6,38,FALSE),0)+IFERROR(VLOOKUP($D27,Budsjett!$B$7:$AO$7,38,FALSE),0)+IFERROR(VLOOKUP($D27,Budsjett!$B$8:$AO$8,38,FALSE),0)+IFERROR(VLOOKUP($D27,Budsjett!$B$9:$AO$9,38,FALSE),0)+IFERROR(VLOOKUP($D27,Budsjett!$B$10:$AO$10,38,FALSE),0)+IFERROR(VLOOKUP($D27,Budsjett!$B$11:$AO$11,38,FALSE),0)+IFERROR(VLOOKUP($D27,Budsjett!$B$14:$AO$14,38,FALSE),0)+IFERROR(VLOOKUP($D27,Budsjett!$B$15:$AO$15,38,FALSE),0)+IFERROR(VLOOKUP($D27,Budsjett!$B$16:$AO$16,38,FALSE),0)+IFERROR(VLOOKUP($D27,Budsjett!$B$17:$AO$17,38,FALSE),0)+IFERROR(VLOOKUP($D27,Budsjett!$B$18:$AO$18,38,FALSE),0)+IFERROR(VLOOKUP($D27,Budsjett!$B$19:$AO$19,38,FALSE),0))/$C$3</f>
        <v>0</v>
      </c>
      <c r="H27" s="171">
        <f>(IFERROR(VLOOKUP($D27,Budsjett!$B$4:$AO$4,39,FALSE),0)+IFERROR(VLOOKUP($D27,Budsjett!$B$5:$AO$5,39,FALSE),0)+IFERROR(VLOOKUP($D27,Budsjett!$B$6:$AO$6,39,FALSE),0)+IFERROR(VLOOKUP($D27,Budsjett!$B$7:$AO$7,39,FALSE),0)+IFERROR(VLOOKUP($D27,Budsjett!$B$8:$AO$8,39,FALSE),0)+IFERROR(VLOOKUP($D27,Budsjett!$B$9:$AO$9,39,FALSE),0)+IFERROR(VLOOKUP($D27,Budsjett!$B$10:$AO$10,39,FALSE),0)+IFERROR(VLOOKUP($D27,Budsjett!$B$11:$AO$11,39,FALSE),0)+IFERROR(VLOOKUP($D27,Budsjett!$B$14:$AO$14,39,FALSE),0)+IFERROR(VLOOKUP($D27,Budsjett!$B$15:$AO$15,39,FALSE),0)+IFERROR(VLOOKUP($D27,Budsjett!$B$16:$AO$16,39,FALSE),0)+IFERROR(VLOOKUP($D27,Budsjett!$B$17:$AO$17,39,FALSE),0)+IFERROR(VLOOKUP($D27,Budsjett!$B$18:$AO$18,39,FALSE),0)+IFERROR(VLOOKUP($D27,Budsjett!$B$19:$AO$19,39,FALSE),0))/$C$3</f>
        <v>0</v>
      </c>
      <c r="I27" s="171">
        <f>(IFERROR(VLOOKUP($D27,Budsjett!$B$4:$AO$4,40,FALSE),0)+IFERROR(VLOOKUP($D27,Budsjett!$B$5:$AO$5,40,FALSE),0)+IFERROR(VLOOKUP($D27,Budsjett!$B$6:$AO$6,40,FALSE),0)+IFERROR(VLOOKUP($D27,Budsjett!$B$7:$AO$7,40,FALSE),0)+IFERROR(VLOOKUP($D27,Budsjett!$B$8:$AO$8,40,FALSE),0)+IFERROR(VLOOKUP($D27,Budsjett!$B$9:$AO$9,40,FALSE),0)+IFERROR(VLOOKUP($D27,Budsjett!$B$10:$AO$10,40,FALSE),0)+IFERROR(VLOOKUP($D27,Budsjett!$B$11:$AO$11,40,FALSE),0)+IFERROR(VLOOKUP($D27,Budsjett!$B$14:$AO$14,40,FALSE),0)+IFERROR(VLOOKUP($D27,Budsjett!$B$15:$AO$15,40,FALSE),0)+IFERROR(VLOOKUP($D27,Budsjett!$B$16:$AO$16,40,FALSE),0)+IFERROR(VLOOKUP($D27,Budsjett!$B$17:$AO$17,40,FALSE),0)+IFERROR(VLOOKUP($D27,Budsjett!$B$18:$AO$18,40,FALSE),0)+IFERROR(VLOOKUP($D27,Budsjett!$B$19:$AO$19,40,FALSE),0))/$C$3</f>
        <v>0</v>
      </c>
      <c r="J27" s="267">
        <f t="shared" si="1"/>
        <v>0</v>
      </c>
      <c r="K27" s="209"/>
      <c r="L27" s="217" t="s">
        <v>364</v>
      </c>
      <c r="M27" s="15"/>
      <c r="N27" s="15"/>
      <c r="O27" s="15"/>
      <c r="P27" s="15"/>
      <c r="Q27" s="15"/>
    </row>
    <row r="28" spans="1:30" ht="15.75" x14ac:dyDescent="0.25">
      <c r="A28" s="582"/>
      <c r="B28" s="583"/>
      <c r="C28" s="563"/>
      <c r="D28" s="572" t="s">
        <v>288</v>
      </c>
      <c r="E28" s="573"/>
      <c r="F28" s="171">
        <f>(IFERROR(VLOOKUP($D28,Budsjett!$B$4:$AO$4,37,FALSE),0)+IFERROR(VLOOKUP($D28,Budsjett!$B$5:$AO$5,37,FALSE),0)+IFERROR(VLOOKUP($D28,Budsjett!$B$6:$AO$6,37,FALSE),0)+IFERROR(VLOOKUP($D28,Budsjett!$B$7:$AO$7,37,FALSE),0)+IFERROR(VLOOKUP($D28,Budsjett!$B$8:$AO$8,37,FALSE),0)+IFERROR(VLOOKUP($D28,Budsjett!$B$9:$AO$9,37,FALSE),0)+IFERROR(VLOOKUP($D28,Budsjett!$B$10:$AO$10,37,FALSE),0)+IFERROR(VLOOKUP($D28,Budsjett!$B$11:$AO$11,37,FALSE),0)+IFERROR(VLOOKUP($D28,Budsjett!$B$14:$AO$14,37,FALSE),0)+IFERROR(VLOOKUP($D28,Budsjett!$B$15:$AO$15,37,FALSE),0)+IFERROR(VLOOKUP($D28,Budsjett!$B$16:$AO$16,37,FALSE),0)+IFERROR(VLOOKUP($D28,Budsjett!$B$17:$AO$17,37,FALSE),0)+IFERROR(VLOOKUP($D28,Budsjett!$B$18:$AO$18,37,FALSE),0)+IFERROR(VLOOKUP($D28,Budsjett!$B$19:$AO$19,37,FALSE),0))/$C$3</f>
        <v>0</v>
      </c>
      <c r="G28" s="171">
        <f>(IFERROR(VLOOKUP($D28,Budsjett!$B$4:$AO$4,38,FALSE),0)+IFERROR(VLOOKUP($D28,Budsjett!$B$5:$AO$5,38,FALSE),0)+IFERROR(VLOOKUP($D28,Budsjett!$B$6:$AO$6,38,FALSE),0)+IFERROR(VLOOKUP($D28,Budsjett!$B$7:$AO$7,38,FALSE),0)+IFERROR(VLOOKUP($D28,Budsjett!$B$8:$AO$8,38,FALSE),0)+IFERROR(VLOOKUP($D28,Budsjett!$B$9:$AO$9,38,FALSE),0)+IFERROR(VLOOKUP($D28,Budsjett!$B$10:$AO$10,38,FALSE),0)+IFERROR(VLOOKUP($D28,Budsjett!$B$11:$AO$11,38,FALSE),0)+IFERROR(VLOOKUP($D28,Budsjett!$B$14:$AO$14,38,FALSE),0)+IFERROR(VLOOKUP($D28,Budsjett!$B$15:$AO$15,38,FALSE),0)+IFERROR(VLOOKUP($D28,Budsjett!$B$16:$AO$16,38,FALSE),0)+IFERROR(VLOOKUP($D28,Budsjett!$B$17:$AO$17,38,FALSE),0)+IFERROR(VLOOKUP($D28,Budsjett!$B$18:$AO$18,38,FALSE),0)+IFERROR(VLOOKUP($D28,Budsjett!$B$19:$AO$19,38,FALSE),0))/$C$3</f>
        <v>0</v>
      </c>
      <c r="H28" s="171">
        <f>(IFERROR(VLOOKUP($D28,Budsjett!$B$4:$AO$4,39,FALSE),0)+IFERROR(VLOOKUP($D28,Budsjett!$B$5:$AO$5,39,FALSE),0)+IFERROR(VLOOKUP($D28,Budsjett!$B$6:$AO$6,39,FALSE),0)+IFERROR(VLOOKUP($D28,Budsjett!$B$7:$AO$7,39,FALSE),0)+IFERROR(VLOOKUP($D28,Budsjett!$B$8:$AO$8,39,FALSE),0)+IFERROR(VLOOKUP($D28,Budsjett!$B$9:$AO$9,39,FALSE),0)+IFERROR(VLOOKUP($D28,Budsjett!$B$10:$AO$10,39,FALSE),0)+IFERROR(VLOOKUP($D28,Budsjett!$B$11:$AO$11,39,FALSE),0)+IFERROR(VLOOKUP($D28,Budsjett!$B$14:$AO$14,39,FALSE),0)+IFERROR(VLOOKUP($D28,Budsjett!$B$15:$AO$15,39,FALSE),0)+IFERROR(VLOOKUP($D28,Budsjett!$B$16:$AO$16,39,FALSE),0)+IFERROR(VLOOKUP($D28,Budsjett!$B$17:$AO$17,39,FALSE),0)+IFERROR(VLOOKUP($D28,Budsjett!$B$18:$AO$18,39,FALSE),0)+IFERROR(VLOOKUP($D28,Budsjett!$B$19:$AO$19,39,FALSE),0))/$C$3</f>
        <v>0</v>
      </c>
      <c r="I28" s="171">
        <f>(IFERROR(VLOOKUP($D28,Budsjett!$B$4:$AO$4,40,FALSE),0)+IFERROR(VLOOKUP($D28,Budsjett!$B$5:$AO$5,40,FALSE),0)+IFERROR(VLOOKUP($D28,Budsjett!$B$6:$AO$6,40,FALSE),0)+IFERROR(VLOOKUP($D28,Budsjett!$B$7:$AO$7,40,FALSE),0)+IFERROR(VLOOKUP($D28,Budsjett!$B$8:$AO$8,40,FALSE),0)+IFERROR(VLOOKUP($D28,Budsjett!$B$9:$AO$9,40,FALSE),0)+IFERROR(VLOOKUP($D28,Budsjett!$B$10:$AO$10,40,FALSE),0)+IFERROR(VLOOKUP($D28,Budsjett!$B$11:$AO$11,40,FALSE),0)+IFERROR(VLOOKUP($D28,Budsjett!$B$14:$AO$14,40,FALSE),0)+IFERROR(VLOOKUP($D28,Budsjett!$B$15:$AO$15,40,FALSE),0)+IFERROR(VLOOKUP($D28,Budsjett!$B$16:$AO$16,40,FALSE),0)+IFERROR(VLOOKUP($D28,Budsjett!$B$17:$AO$17,40,FALSE),0)+IFERROR(VLOOKUP($D28,Budsjett!$B$18:$AO$18,40,FALSE),0)+IFERROR(VLOOKUP($D28,Budsjett!$B$19:$AO$19,40,FALSE),0))/$C$3</f>
        <v>0</v>
      </c>
      <c r="J28" s="267">
        <f t="shared" si="1"/>
        <v>0</v>
      </c>
      <c r="K28" s="209"/>
      <c r="L28" s="220" t="s">
        <v>365</v>
      </c>
      <c r="M28" s="205"/>
      <c r="N28" s="205"/>
      <c r="O28" s="205"/>
      <c r="P28" s="205"/>
      <c r="Q28" s="205"/>
    </row>
    <row r="29" spans="1:30" ht="16.5" customHeight="1" thickBot="1" x14ac:dyDescent="0.3">
      <c r="A29" s="582"/>
      <c r="B29" s="583"/>
      <c r="C29" s="584"/>
      <c r="D29" s="572" t="s">
        <v>289</v>
      </c>
      <c r="E29" s="573"/>
      <c r="F29" s="171">
        <f>(IFERROR(VLOOKUP($D29,Budsjett!$B$4:$AO$4,37,FALSE),0)+IFERROR(VLOOKUP($D29,Budsjett!$B$5:$AO$5,37,FALSE),0)+IFERROR(VLOOKUP($D29,Budsjett!$B$6:$AO$6,37,FALSE),0)+IFERROR(VLOOKUP($D29,Budsjett!$B$7:$AO$7,37,FALSE),0)+IFERROR(VLOOKUP($D29,Budsjett!$B$8:$AO$8,37,FALSE),0)+IFERROR(VLOOKUP($D29,Budsjett!$B$9:$AO$9,37,FALSE),0)+IFERROR(VLOOKUP($D29,Budsjett!$B$10:$AO$10,37,FALSE),0)+IFERROR(VLOOKUP($D29,Budsjett!$B$11:$AO$11,37,FALSE),0)+IFERROR(VLOOKUP($D29,Budsjett!$B$14:$AO$14,37,FALSE),0)+IFERROR(VLOOKUP($D29,Budsjett!$B$15:$AO$15,37,FALSE),0)+IFERROR(VLOOKUP($D29,Budsjett!$B$16:$AO$16,37,FALSE),0)+IFERROR(VLOOKUP($D29,Budsjett!$B$17:$AO$17,37,FALSE),0)+IFERROR(VLOOKUP($D29,Budsjett!$B$18:$AO$18,37,FALSE),0)+IFERROR(VLOOKUP($D29,Budsjett!$B$19:$AO$19,37,FALSE),0))/C3+(Budsjett!AL34/'Budsjett_ERC for the proporsal'!C3)</f>
        <v>0</v>
      </c>
      <c r="G29" s="171">
        <f>(IFERROR(VLOOKUP($D29,Budsjett!$B$4:$AO$4,38,FALSE),0)+IFERROR(VLOOKUP($D29,Budsjett!$B$5:$AO$5,38,FALSE),0)+IFERROR(VLOOKUP($D29,Budsjett!$B$6:$AO$6,38,FALSE),0)+IFERROR(VLOOKUP($D29,Budsjett!$B$7:$AO$7,38,FALSE),0)+IFERROR(VLOOKUP($D29,Budsjett!$B$8:$AO$8,38,FALSE),0)+IFERROR(VLOOKUP($D29,Budsjett!$B$9:$AO$9,38,FALSE),0)+IFERROR(VLOOKUP($D29,Budsjett!$B$10:$AO$10,38,FALSE),0)+IFERROR(VLOOKUP($D29,Budsjett!$B$11:$AO$11,38,FALSE),0)+IFERROR(VLOOKUP($D29,Budsjett!$B$14:$AO$14,38,FALSE),0)+IFERROR(VLOOKUP($D29,Budsjett!$B$15:$AO$15,38,FALSE),0)+IFERROR(VLOOKUP($D29,Budsjett!$B$16:$AO$16,38,FALSE),0)+IFERROR(VLOOKUP($D29,Budsjett!$B$17:$AO$17,38,FALSE),0)+IFERROR(VLOOKUP($D29,Budsjett!$B$18:$AO$18,38,FALSE),0)+IFERROR(VLOOKUP($D29,Budsjett!$B$19:$AO$19,38,FALSE),0))/$C$3+(Budsjett!AM34/'Budsjett_ERC for the proporsal'!C3)</f>
        <v>0</v>
      </c>
      <c r="H29" s="171">
        <f>(IFERROR(VLOOKUP($D29,Budsjett!$B$4:$AO$4,39,FALSE),0)+IFERROR(VLOOKUP($D29,Budsjett!$B$5:$AO$5,39,FALSE),0)+IFERROR(VLOOKUP($D29,Budsjett!$B$6:$AO$6,39,FALSE),0)+IFERROR(VLOOKUP($D29,Budsjett!$B$7:$AO$7,39,FALSE),0)+IFERROR(VLOOKUP($D29,Budsjett!$B$8:$AO$8,39,FALSE),0)+IFERROR(VLOOKUP($D29,Budsjett!$B$9:$AO$9,39,FALSE),0)+IFERROR(VLOOKUP($D29,Budsjett!$B$10:$AO$10,39,FALSE),0)+IFERROR(VLOOKUP($D29,Budsjett!$B$11:$AO$11,39,FALSE),0)+IFERROR(VLOOKUP($D29,Budsjett!$B$14:$AO$14,39,FALSE),0)+IFERROR(VLOOKUP($D29,Budsjett!$B$15:$AO$15,39,FALSE),0)+IFERROR(VLOOKUP($D29,Budsjett!$B$16:$AO$16,39,FALSE),0)+IFERROR(VLOOKUP($D29,Budsjett!$B$17:$AO$17,39,FALSE),0)+IFERROR(VLOOKUP($D29,Budsjett!$B$18:$AO$18,39,FALSE),0)+IFERROR(VLOOKUP($D29,Budsjett!$B$19:$AO$19,39,FALSE),0))/$C$3+(Budsjett!AN34/'Budsjett_ERC for the proporsal'!C3)</f>
        <v>0</v>
      </c>
      <c r="I29" s="171">
        <f>(IFERROR(VLOOKUP($D29,Budsjett!$B$4:$AO$4,40,FALSE),0)+IFERROR(VLOOKUP($D29,Budsjett!$B$5:$AO$5,40,FALSE),0)+IFERROR(VLOOKUP($D29,Budsjett!$B$6:$AO$6,40,FALSE),0)+IFERROR(VLOOKUP($D29,Budsjett!$B$7:$AO$7,40,FALSE),0)+IFERROR(VLOOKUP($D29,Budsjett!$B$8:$AO$8,40,FALSE),0)+IFERROR(VLOOKUP($D29,Budsjett!$B$9:$AO$9,40,FALSE),0)+IFERROR(VLOOKUP($D29,Budsjett!$B$10:$AO$10,40,FALSE),0)+IFERROR(VLOOKUP($D29,Budsjett!$B$11:$AO$11,40,FALSE),0)+IFERROR(VLOOKUP($D29,Budsjett!$B$14:$AO$14,40,FALSE),0)+IFERROR(VLOOKUP($D29,Budsjett!$B$15:$AO$15,40,FALSE),0)+IFERROR(VLOOKUP($D29,Budsjett!$B$16:$AO$16,40,FALSE),0)+IFERROR(VLOOKUP($D29,Budsjett!$B$17:$AO$17,40,FALSE),0)+IFERROR(VLOOKUP($D29,Budsjett!$B$18:$AO$18,40,FALSE),0)+IFERROR(VLOOKUP($D29,Budsjett!$B$19:$AO$19,40,FALSE),0))/$C$3+(Budsjett!AO34/'Budsjett_ERC for the proporsal'!C3)</f>
        <v>0</v>
      </c>
      <c r="J29" s="267">
        <f t="shared" si="1"/>
        <v>0</v>
      </c>
      <c r="K29" s="209"/>
      <c r="L29" s="218" t="s">
        <v>366</v>
      </c>
      <c r="M29" s="219"/>
      <c r="N29" s="219"/>
      <c r="O29" s="219"/>
      <c r="P29" s="219"/>
      <c r="Q29" s="219"/>
    </row>
    <row r="30" spans="1:30" ht="16.5" thickBot="1" x14ac:dyDescent="0.3">
      <c r="A30" s="582"/>
      <c r="B30" s="583"/>
      <c r="C30" s="553" t="s">
        <v>367</v>
      </c>
      <c r="D30" s="554"/>
      <c r="E30" s="555"/>
      <c r="F30" s="270">
        <f>SUM(F25:F29)</f>
        <v>0</v>
      </c>
      <c r="G30" s="270">
        <f>SUM(G25:G29)</f>
        <v>0</v>
      </c>
      <c r="H30" s="270">
        <f>SUM(H25:H29)</f>
        <v>0</v>
      </c>
      <c r="I30" s="270">
        <f>SUM(I25:I29)</f>
        <v>0</v>
      </c>
      <c r="J30" s="191">
        <f t="shared" si="1"/>
        <v>0</v>
      </c>
      <c r="K30" s="209"/>
      <c r="L30" s="190"/>
      <c r="R30" s="195"/>
      <c r="S30" s="196"/>
    </row>
    <row r="31" spans="1:30" ht="16.5" thickBot="1" x14ac:dyDescent="0.3">
      <c r="A31" s="582"/>
      <c r="B31" s="583"/>
      <c r="C31" s="556" t="s">
        <v>348</v>
      </c>
      <c r="D31" s="557"/>
      <c r="E31" s="558"/>
      <c r="F31" s="197">
        <f>Budsjett!F39/'Budsjett_ERC for the proporsal'!$C$3</f>
        <v>0</v>
      </c>
      <c r="G31" s="172">
        <f>Budsjett!G39/'Budsjett_ERC for the proporsal'!$C$3</f>
        <v>0</v>
      </c>
      <c r="H31" s="172">
        <f>Budsjett!H39/'Budsjett_ERC for the proporsal'!$C$3</f>
        <v>0</v>
      </c>
      <c r="I31" s="172">
        <f>Budsjett!I39/'Budsjett_ERC for the proporsal'!$C$3</f>
        <v>0</v>
      </c>
      <c r="J31" s="173">
        <f t="shared" si="1"/>
        <v>0</v>
      </c>
      <c r="K31" s="208"/>
      <c r="L31" s="215" t="s">
        <v>368</v>
      </c>
      <c r="M31" s="216"/>
      <c r="N31" s="216"/>
      <c r="O31" s="216"/>
      <c r="P31" s="216"/>
      <c r="Q31" s="216"/>
      <c r="R31" s="214"/>
      <c r="S31" s="212"/>
      <c r="T31" s="212"/>
      <c r="U31" s="212"/>
      <c r="V31" s="212"/>
      <c r="W31" s="212"/>
      <c r="X31" s="212"/>
      <c r="Y31" s="212"/>
      <c r="Z31" s="212"/>
      <c r="AA31" s="212"/>
      <c r="AB31" s="212"/>
      <c r="AC31" s="212"/>
      <c r="AD31" s="212"/>
    </row>
    <row r="32" spans="1:30" ht="16.5" thickBot="1" x14ac:dyDescent="0.3">
      <c r="A32" s="582"/>
      <c r="B32" s="583"/>
      <c r="C32" s="559" t="s">
        <v>186</v>
      </c>
      <c r="D32" s="560"/>
      <c r="E32" s="561"/>
      <c r="F32" s="197">
        <f>Budsjett!F46/$C$3</f>
        <v>0</v>
      </c>
      <c r="G32" s="172">
        <f>Budsjett!G46/$C$3</f>
        <v>0</v>
      </c>
      <c r="H32" s="172">
        <f>Budsjett!H46/$C$3</f>
        <v>0</v>
      </c>
      <c r="I32" s="172">
        <f>Budsjett!I46/$C$3</f>
        <v>0</v>
      </c>
      <c r="J32" s="173">
        <f t="shared" si="1"/>
        <v>0</v>
      </c>
      <c r="K32" s="208"/>
      <c r="L32" s="220" t="s">
        <v>369</v>
      </c>
      <c r="M32" s="205"/>
      <c r="N32" s="205"/>
      <c r="O32" s="205"/>
      <c r="P32" s="205"/>
      <c r="Q32" s="205"/>
      <c r="R32" s="213"/>
      <c r="S32" s="212"/>
      <c r="T32" s="213"/>
      <c r="U32" s="212"/>
      <c r="V32" s="212"/>
      <c r="W32" s="212"/>
      <c r="X32" s="212"/>
      <c r="Y32" s="212"/>
      <c r="Z32" s="212"/>
      <c r="AA32" s="212"/>
      <c r="AB32" s="212"/>
      <c r="AC32" s="212"/>
      <c r="AD32" s="212"/>
    </row>
    <row r="33" spans="1:30" ht="15.75" x14ac:dyDescent="0.25">
      <c r="A33" s="582"/>
      <c r="B33" s="583"/>
      <c r="C33" s="562" t="s">
        <v>350</v>
      </c>
      <c r="D33" s="586" t="s">
        <v>370</v>
      </c>
      <c r="E33" s="587"/>
      <c r="F33" s="197">
        <f>Budsjett!F38/'Budget for the contract'!$B$3</f>
        <v>0</v>
      </c>
      <c r="G33" s="172">
        <f>(Budsjett!G38)/'Budget for the contract'!$B$3</f>
        <v>0</v>
      </c>
      <c r="H33" s="172">
        <f>(Budsjett!H38)/'Budget for the contract'!$B$3</f>
        <v>0</v>
      </c>
      <c r="I33" s="172">
        <f>(Budsjett!I38)/'Budget for the contract'!$B$3</f>
        <v>0</v>
      </c>
      <c r="J33" s="204">
        <f t="shared" si="1"/>
        <v>0</v>
      </c>
      <c r="K33" s="208"/>
      <c r="L33" s="217" t="s">
        <v>371</v>
      </c>
      <c r="M33" s="15"/>
      <c r="N33" s="15"/>
      <c r="O33" s="15"/>
      <c r="P33" s="15"/>
      <c r="Q33" s="15"/>
      <c r="R33" s="213"/>
      <c r="S33" s="212"/>
      <c r="T33" s="212"/>
      <c r="U33" s="212"/>
      <c r="V33" s="212"/>
      <c r="W33" s="212"/>
      <c r="X33" s="212"/>
      <c r="Y33" s="212"/>
      <c r="Z33" s="212"/>
      <c r="AA33" s="212"/>
      <c r="AB33" s="212"/>
      <c r="AC33" s="212"/>
      <c r="AD33" s="212"/>
    </row>
    <row r="34" spans="1:30" ht="15.75" x14ac:dyDescent="0.25">
      <c r="A34" s="582"/>
      <c r="B34" s="583"/>
      <c r="C34" s="563"/>
      <c r="D34" s="567" t="s">
        <v>372</v>
      </c>
      <c r="E34" s="568"/>
      <c r="F34" s="197">
        <f>Budsjett!BP43/'Budsjett_ERC for the proporsal'!$C$3</f>
        <v>0</v>
      </c>
      <c r="G34" s="172">
        <f>Budsjett!BQ43/'Budsjett_ERC for the proporsal'!$C$3</f>
        <v>0</v>
      </c>
      <c r="H34" s="172">
        <f>Budsjett!BR43/'Budsjett_ERC for the proporsal'!$C$3</f>
        <v>0</v>
      </c>
      <c r="I34" s="172">
        <f>Budsjett!BS43/'Budsjett_ERC for the proporsal'!$C$3</f>
        <v>0</v>
      </c>
      <c r="J34" s="204">
        <f t="shared" si="1"/>
        <v>0</v>
      </c>
      <c r="K34" s="208"/>
      <c r="L34" s="220" t="s">
        <v>102</v>
      </c>
      <c r="M34" s="205"/>
      <c r="N34" s="205"/>
      <c r="O34" s="205"/>
      <c r="P34" s="205"/>
      <c r="Q34" s="205"/>
    </row>
    <row r="35" spans="1:30" ht="17.25" customHeight="1" thickBot="1" x14ac:dyDescent="0.3">
      <c r="A35" s="582"/>
      <c r="B35" s="583"/>
      <c r="C35" s="563"/>
      <c r="D35" s="567" t="s">
        <v>373</v>
      </c>
      <c r="E35" s="568"/>
      <c r="F35" s="198">
        <f>(Budsjett!F40+Budsjett!F42)/'Budsjett_ERC for the proporsal'!$C$3</f>
        <v>0</v>
      </c>
      <c r="G35" s="198">
        <f>(Budsjett!G40+Budsjett!G42)/'Budsjett_ERC for the proporsal'!$C$3</f>
        <v>0</v>
      </c>
      <c r="H35" s="198">
        <f>(Budsjett!H40+Budsjett!H42)/'Budsjett_ERC for the proporsal'!$C$3</f>
        <v>0</v>
      </c>
      <c r="I35" s="198">
        <f>(Budsjett!I40+Budsjett!I42)/'Budsjett_ERC for the proporsal'!$C$3</f>
        <v>0</v>
      </c>
      <c r="J35" s="204">
        <f t="shared" si="1"/>
        <v>0</v>
      </c>
      <c r="K35" s="208"/>
      <c r="L35" s="221" t="s">
        <v>374</v>
      </c>
      <c r="M35" s="219"/>
      <c r="N35" s="219"/>
      <c r="O35" s="219"/>
      <c r="P35" s="219"/>
      <c r="Q35" s="219"/>
    </row>
    <row r="36" spans="1:30" ht="16.5" thickBot="1" x14ac:dyDescent="0.3">
      <c r="A36" s="582"/>
      <c r="B36" s="583"/>
      <c r="C36" s="588" t="s">
        <v>375</v>
      </c>
      <c r="D36" s="589"/>
      <c r="E36" s="590"/>
      <c r="F36" s="188">
        <f>SUM(F31:F35)</f>
        <v>0</v>
      </c>
      <c r="G36" s="161">
        <f>SUM(G31:G35)</f>
        <v>0</v>
      </c>
      <c r="H36" s="161">
        <f>SUM(H31:H35)</f>
        <v>0</v>
      </c>
      <c r="I36" s="161">
        <f>SUM(I31:I35)</f>
        <v>0</v>
      </c>
      <c r="J36" s="192">
        <f t="shared" si="1"/>
        <v>0</v>
      </c>
      <c r="K36" s="208"/>
    </row>
    <row r="37" spans="1:30" ht="15.75" customHeight="1" thickBot="1" x14ac:dyDescent="0.3">
      <c r="A37" s="559" t="s">
        <v>376</v>
      </c>
      <c r="B37" s="560"/>
      <c r="C37" s="560"/>
      <c r="D37" s="560"/>
      <c r="E37" s="561"/>
      <c r="F37" s="162">
        <f>F36+F30</f>
        <v>0</v>
      </c>
      <c r="G37" s="162">
        <f>G36+G30</f>
        <v>0</v>
      </c>
      <c r="H37" s="162">
        <f>H36+H30</f>
        <v>0</v>
      </c>
      <c r="I37" s="194">
        <f>I36+I30</f>
        <v>0</v>
      </c>
      <c r="J37" s="163">
        <f t="shared" si="1"/>
        <v>0</v>
      </c>
      <c r="K37" s="208"/>
      <c r="L37" s="190"/>
      <c r="M37" s="190"/>
      <c r="N37" s="190"/>
      <c r="O37" s="190"/>
    </row>
    <row r="38" spans="1:30" ht="16.5" thickBot="1" x14ac:dyDescent="0.3">
      <c r="A38" s="569" t="s">
        <v>377</v>
      </c>
      <c r="B38" s="570"/>
      <c r="C38" s="570"/>
      <c r="D38" s="570"/>
      <c r="E38" s="571"/>
      <c r="F38" s="187">
        <f>'Budget for the contract'!B19</f>
        <v>0</v>
      </c>
      <c r="G38" s="164">
        <f>'Budget for the contract'!C19</f>
        <v>0</v>
      </c>
      <c r="H38" s="164">
        <f>'Budget for the contract'!D19</f>
        <v>0</v>
      </c>
      <c r="I38" s="164">
        <f>'Budget for the contract'!E19</f>
        <v>0</v>
      </c>
      <c r="J38" s="165">
        <f t="shared" si="1"/>
        <v>0</v>
      </c>
      <c r="K38" s="208"/>
      <c r="L38" s="190"/>
      <c r="M38" s="190"/>
      <c r="N38" s="190"/>
      <c r="O38" s="190"/>
    </row>
    <row r="39" spans="1:30" ht="16.5" customHeight="1" thickBot="1" x14ac:dyDescent="0.3">
      <c r="A39" s="569" t="s">
        <v>378</v>
      </c>
      <c r="B39" s="570"/>
      <c r="C39" s="570"/>
      <c r="D39" s="570"/>
      <c r="E39" s="571"/>
      <c r="F39" s="187">
        <f>Budsjett!F44/'Budget for the contract'!$B$3</f>
        <v>0</v>
      </c>
      <c r="G39" s="187">
        <f>Budsjett!G44/'Budget for the contract'!$B$3</f>
        <v>0</v>
      </c>
      <c r="H39" s="187">
        <f>Budsjett!H44/'Budget for the contract'!$B$3</f>
        <v>0</v>
      </c>
      <c r="I39" s="187">
        <f>Budsjett!I44/'Budget for the contract'!$B$3</f>
        <v>0</v>
      </c>
      <c r="J39" s="193">
        <f t="shared" si="1"/>
        <v>0</v>
      </c>
      <c r="K39" s="208"/>
      <c r="L39" s="223" t="s">
        <v>379</v>
      </c>
      <c r="M39" s="224"/>
      <c r="N39" s="224"/>
      <c r="O39" s="224"/>
      <c r="P39" s="225"/>
      <c r="Q39" s="225"/>
      <c r="S39" s="232"/>
      <c r="T39" s="232"/>
      <c r="U39" s="232"/>
      <c r="V39" s="232"/>
      <c r="W39" s="232"/>
    </row>
    <row r="40" spans="1:30" ht="16.5" customHeight="1" thickBot="1" x14ac:dyDescent="0.3">
      <c r="A40" s="569" t="s">
        <v>380</v>
      </c>
      <c r="B40" s="570"/>
      <c r="C40" s="570"/>
      <c r="D40" s="570"/>
      <c r="E40" s="571"/>
      <c r="F40" s="187">
        <f>Budsjett!F45/$C$3</f>
        <v>0</v>
      </c>
      <c r="G40" s="187">
        <f>Budsjett!G45/$C$3</f>
        <v>0</v>
      </c>
      <c r="H40" s="187">
        <f>Budsjett!H45/$C$3</f>
        <v>0</v>
      </c>
      <c r="I40" s="187">
        <f>Budsjett!I45/$C$3</f>
        <v>0</v>
      </c>
      <c r="J40" s="193">
        <f t="shared" si="1"/>
        <v>0</v>
      </c>
      <c r="K40" s="208"/>
      <c r="L40" s="218" t="s">
        <v>104</v>
      </c>
      <c r="M40" s="222"/>
      <c r="N40" s="222"/>
      <c r="O40" s="222"/>
      <c r="P40" s="219"/>
      <c r="Q40" s="219"/>
    </row>
    <row r="41" spans="1:30" ht="17.25" customHeight="1" thickBot="1" x14ac:dyDescent="0.3">
      <c r="A41" s="591" t="s">
        <v>381</v>
      </c>
      <c r="B41" s="592"/>
      <c r="C41" s="592"/>
      <c r="D41" s="592"/>
      <c r="E41" s="593"/>
      <c r="F41" s="166">
        <f>F37+F38+F39+F40</f>
        <v>0</v>
      </c>
      <c r="G41" s="166">
        <f>G37+G38+G39+G40</f>
        <v>0</v>
      </c>
      <c r="H41" s="166">
        <f>H37+H38+H39+H40</f>
        <v>0</v>
      </c>
      <c r="I41" s="166">
        <f>I37+I38+I39+I40</f>
        <v>0</v>
      </c>
      <c r="J41" s="167">
        <f t="shared" si="1"/>
        <v>0</v>
      </c>
      <c r="K41" s="208"/>
      <c r="L41" s="190"/>
      <c r="M41" s="190"/>
      <c r="N41" s="190"/>
      <c r="O41" s="190"/>
    </row>
    <row r="42" spans="1:30" ht="17.25" customHeight="1" thickBot="1" x14ac:dyDescent="0.3">
      <c r="A42" s="550" t="s">
        <v>382</v>
      </c>
      <c r="B42" s="551"/>
      <c r="C42" s="551"/>
      <c r="D42" s="551"/>
      <c r="E42" s="552"/>
      <c r="F42" s="168">
        <f>F41</f>
        <v>0</v>
      </c>
      <c r="G42" s="168">
        <f>G41</f>
        <v>0</v>
      </c>
      <c r="H42" s="168">
        <f>H41</f>
        <v>0</v>
      </c>
      <c r="I42" s="168">
        <f>I41</f>
        <v>0</v>
      </c>
      <c r="J42" s="169">
        <f t="shared" si="1"/>
        <v>0</v>
      </c>
      <c r="K42" s="208"/>
      <c r="L42" s="190"/>
      <c r="M42" s="190"/>
      <c r="N42" s="190"/>
      <c r="O42" s="190"/>
      <c r="Q42" s="5"/>
    </row>
    <row r="43" spans="1:30" ht="17.25" customHeight="1" thickTop="1" x14ac:dyDescent="0.2">
      <c r="K43" s="196"/>
    </row>
    <row r="44" spans="1:30" ht="13.5" customHeight="1" x14ac:dyDescent="0.2"/>
    <row r="46" spans="1:30" ht="78.75" customHeight="1" x14ac:dyDescent="0.2">
      <c r="A46" s="576" t="s">
        <v>383</v>
      </c>
      <c r="B46" s="576"/>
      <c r="C46" s="576"/>
      <c r="D46" s="576"/>
      <c r="E46" s="576"/>
      <c r="F46" s="576"/>
      <c r="G46" s="576"/>
      <c r="H46" s="576"/>
      <c r="I46" s="576"/>
      <c r="J46" s="576"/>
      <c r="K46" s="328"/>
    </row>
    <row r="47" spans="1:30" ht="43.5" customHeight="1" x14ac:dyDescent="0.2">
      <c r="A47" s="585" t="s">
        <v>384</v>
      </c>
      <c r="B47" s="585"/>
      <c r="C47" s="585"/>
      <c r="D47" s="585"/>
      <c r="E47" s="585"/>
      <c r="F47" s="585"/>
      <c r="G47" s="585"/>
      <c r="H47" s="585"/>
      <c r="I47" s="585"/>
      <c r="J47" s="585"/>
      <c r="K47" s="329"/>
    </row>
    <row r="48" spans="1:30" ht="15.75" x14ac:dyDescent="0.2">
      <c r="A48" s="576" t="s">
        <v>385</v>
      </c>
      <c r="B48" s="576"/>
      <c r="C48" s="576"/>
      <c r="D48" s="576"/>
      <c r="E48" s="576"/>
      <c r="F48" s="576"/>
      <c r="G48" s="576"/>
      <c r="H48" s="576"/>
      <c r="I48" s="576"/>
      <c r="J48" s="576"/>
      <c r="K48" s="328"/>
    </row>
    <row r="49" spans="1:15" ht="45" customHeight="1" x14ac:dyDescent="0.2">
      <c r="A49" s="576" t="s">
        <v>386</v>
      </c>
      <c r="B49" s="576"/>
      <c r="C49" s="576"/>
      <c r="D49" s="576"/>
      <c r="E49" s="576"/>
      <c r="F49" s="576"/>
      <c r="G49" s="576"/>
      <c r="H49" s="576"/>
      <c r="I49" s="576"/>
      <c r="J49" s="576"/>
      <c r="K49" s="328"/>
    </row>
    <row r="50" spans="1:15" ht="27.75" customHeight="1" x14ac:dyDescent="0.2">
      <c r="A50" s="576" t="s">
        <v>387</v>
      </c>
      <c r="B50" s="576"/>
      <c r="C50" s="576"/>
      <c r="D50" s="576"/>
      <c r="E50" s="576"/>
      <c r="F50" s="576"/>
      <c r="G50" s="576"/>
      <c r="H50" s="576"/>
      <c r="I50" s="576"/>
      <c r="J50" s="576"/>
      <c r="K50" s="328"/>
    </row>
    <row r="58" spans="1:15" x14ac:dyDescent="0.2">
      <c r="O58" s="186"/>
    </row>
  </sheetData>
  <sheetProtection formatColumns="0"/>
  <mergeCells count="59">
    <mergeCell ref="B12:D12"/>
    <mergeCell ref="B17:D17"/>
    <mergeCell ref="B13:D13"/>
    <mergeCell ref="B14:D14"/>
    <mergeCell ref="B15:D15"/>
    <mergeCell ref="B16:D16"/>
    <mergeCell ref="V5:V11"/>
    <mergeCell ref="W5:W11"/>
    <mergeCell ref="X5:X11"/>
    <mergeCell ref="E5:R5"/>
    <mergeCell ref="R6:R11"/>
    <mergeCell ref="S5:S11"/>
    <mergeCell ref="T5:T11"/>
    <mergeCell ref="U5:U11"/>
    <mergeCell ref="N9:N11"/>
    <mergeCell ref="O9:O11"/>
    <mergeCell ref="P9:P11"/>
    <mergeCell ref="Q7:Q11"/>
    <mergeCell ref="B5:D11"/>
    <mergeCell ref="K6:Q6"/>
    <mergeCell ref="E6:J6"/>
    <mergeCell ref="E7:E11"/>
    <mergeCell ref="F7:F11"/>
    <mergeCell ref="G7:G11"/>
    <mergeCell ref="H7:H11"/>
    <mergeCell ref="I7:I11"/>
    <mergeCell ref="J7:J11"/>
    <mergeCell ref="K7:K11"/>
    <mergeCell ref="L7:L11"/>
    <mergeCell ref="M7:P8"/>
    <mergeCell ref="M9:M11"/>
    <mergeCell ref="A48:J48"/>
    <mergeCell ref="A49:J49"/>
    <mergeCell ref="A50:J50"/>
    <mergeCell ref="A24:E24"/>
    <mergeCell ref="A25:B36"/>
    <mergeCell ref="C25:C29"/>
    <mergeCell ref="A46:J46"/>
    <mergeCell ref="A47:J47"/>
    <mergeCell ref="D33:E33"/>
    <mergeCell ref="D26:E26"/>
    <mergeCell ref="D27:E27"/>
    <mergeCell ref="D28:E28"/>
    <mergeCell ref="A37:E37"/>
    <mergeCell ref="C36:E36"/>
    <mergeCell ref="A41:E41"/>
    <mergeCell ref="A40:E40"/>
    <mergeCell ref="A23:E23"/>
    <mergeCell ref="D34:E34"/>
    <mergeCell ref="D35:E35"/>
    <mergeCell ref="A38:E38"/>
    <mergeCell ref="A39:E39"/>
    <mergeCell ref="D29:E29"/>
    <mergeCell ref="D25:E25"/>
    <mergeCell ref="A42:E42"/>
    <mergeCell ref="C30:E30"/>
    <mergeCell ref="C31:E31"/>
    <mergeCell ref="C32:E32"/>
    <mergeCell ref="C33:C35"/>
  </mergeCells>
  <pageMargins left="0.7" right="0.7" top="0.75" bottom="0.75" header="0.3" footer="0.3"/>
  <pageSetup paperSize="9" scale="76" orientation="landscape" r:id="rId1"/>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Ark3">
    <tabColor theme="0" tint="-0.34998626667073579"/>
  </sheetPr>
  <dimension ref="A1:AH106"/>
  <sheetViews>
    <sheetView showGridLines="0" zoomScale="85" zoomScaleNormal="85" workbookViewId="0">
      <selection activeCell="Y27" sqref="Y27"/>
    </sheetView>
  </sheetViews>
  <sheetFormatPr defaultColWidth="9.140625" defaultRowHeight="12.75" x14ac:dyDescent="0.2"/>
  <cols>
    <col min="1" max="1" width="11.140625" customWidth="1"/>
    <col min="2" max="2" width="10.42578125" style="5" bestFit="1" customWidth="1"/>
    <col min="4" max="4" width="8.5703125" bestFit="1" customWidth="1"/>
    <col min="5" max="5" width="8.5703125" customWidth="1"/>
    <col min="7" max="7" width="28.42578125" bestFit="1" customWidth="1"/>
    <col min="8" max="8" width="9.42578125" customWidth="1"/>
    <col min="9" max="10" width="12" bestFit="1" customWidth="1"/>
    <col min="11" max="16" width="9.42578125" customWidth="1"/>
    <col min="17" max="19" width="10.5703125" customWidth="1"/>
    <col min="20" max="21" width="4.85546875" customWidth="1"/>
    <col min="24" max="24" width="6.5703125" bestFit="1" customWidth="1"/>
    <col min="25" max="25" width="12.42578125" bestFit="1" customWidth="1"/>
    <col min="26" max="26" width="14.5703125" bestFit="1" customWidth="1"/>
    <col min="27" max="27" width="12" bestFit="1" customWidth="1"/>
    <col min="28" max="28" width="36.5703125" customWidth="1"/>
    <col min="34" max="34" width="76.5703125" bestFit="1" customWidth="1"/>
  </cols>
  <sheetData>
    <row r="1" spans="1:34" ht="21" x14ac:dyDescent="0.35">
      <c r="A1" s="28" t="s">
        <v>388</v>
      </c>
      <c r="G1" s="28" t="s">
        <v>389</v>
      </c>
      <c r="AG1" s="17" t="s">
        <v>390</v>
      </c>
    </row>
    <row r="2" spans="1:34" ht="15" x14ac:dyDescent="0.25">
      <c r="A2" s="247" t="s">
        <v>391</v>
      </c>
      <c r="C2" t="s">
        <v>392</v>
      </c>
      <c r="D2" t="s">
        <v>393</v>
      </c>
    </row>
    <row r="3" spans="1:34" x14ac:dyDescent="0.2">
      <c r="A3" s="17" t="s">
        <v>394</v>
      </c>
      <c r="B3" s="17" t="s">
        <v>395</v>
      </c>
      <c r="G3" s="10" t="s">
        <v>396</v>
      </c>
      <c r="H3" s="8">
        <v>1720</v>
      </c>
      <c r="I3" s="6" t="s">
        <v>397</v>
      </c>
      <c r="J3" s="6"/>
      <c r="K3" s="6"/>
      <c r="L3" s="6"/>
      <c r="AC3" s="6"/>
      <c r="AD3" s="6"/>
      <c r="AE3" s="6"/>
      <c r="AF3" s="6"/>
    </row>
    <row r="4" spans="1:34" x14ac:dyDescent="0.2">
      <c r="A4" s="16" t="s">
        <v>398</v>
      </c>
      <c r="B4" s="16" t="s">
        <v>64</v>
      </c>
      <c r="C4" s="16" t="s">
        <v>398</v>
      </c>
      <c r="D4" s="16" t="s">
        <v>399</v>
      </c>
      <c r="E4" s="111"/>
      <c r="G4" s="6"/>
      <c r="H4" s="6"/>
      <c r="I4" s="6"/>
      <c r="J4" s="9"/>
      <c r="K4" s="6"/>
      <c r="L4" s="9"/>
      <c r="S4" s="4"/>
      <c r="T4" s="4"/>
      <c r="U4" s="4"/>
      <c r="AC4" s="9"/>
      <c r="AD4" s="6"/>
      <c r="AE4" s="6"/>
      <c r="AF4" s="6"/>
    </row>
    <row r="5" spans="1:34" ht="16.5" thickBot="1" x14ac:dyDescent="0.3">
      <c r="A5" s="16">
        <v>1</v>
      </c>
      <c r="B5" s="16">
        <v>0</v>
      </c>
      <c r="C5">
        <v>1</v>
      </c>
      <c r="D5">
        <v>0</v>
      </c>
      <c r="G5" s="3"/>
      <c r="H5" s="11" t="s">
        <v>400</v>
      </c>
      <c r="I5" s="7" t="s">
        <v>401</v>
      </c>
      <c r="J5" s="7" t="str">
        <f>Budsjett!F3</f>
        <v>Periode 1 (1-18 month)</v>
      </c>
      <c r="K5" s="7" t="str">
        <f>Budsjett!G3</f>
        <v>Periode 2 (19-36 month)</v>
      </c>
      <c r="L5" s="7" t="str">
        <f>Budsjett!H3</f>
        <v>Periode 3 (37-54 month)</v>
      </c>
      <c r="M5" s="7" t="str">
        <f>Budsjett!I3</f>
        <v>Periode 4 (55-60 (72) month)</v>
      </c>
      <c r="N5" s="7" t="e">
        <f>Budsjett!#REF!</f>
        <v>#REF!</v>
      </c>
      <c r="O5" s="7" t="e">
        <f>Budsjett!#REF!</f>
        <v>#REF!</v>
      </c>
      <c r="P5" s="7" t="e">
        <f>Budsjett!#REF!</f>
        <v>#REF!</v>
      </c>
      <c r="Q5" s="7" t="e">
        <f>Budsjett!#REF!</f>
        <v>#REF!</v>
      </c>
      <c r="R5" s="7" t="e">
        <f>Budsjett!#REF!</f>
        <v>#REF!</v>
      </c>
      <c r="S5" s="7" t="e">
        <f>Budsjett!#REF!</f>
        <v>#REF!</v>
      </c>
      <c r="T5" s="4"/>
      <c r="U5" s="4"/>
      <c r="W5" s="6" t="s">
        <v>402</v>
      </c>
      <c r="AC5" s="6"/>
      <c r="AD5" s="6"/>
      <c r="AE5" s="6"/>
      <c r="AF5" s="6"/>
    </row>
    <row r="6" spans="1:34" ht="16.5" thickBot="1" x14ac:dyDescent="0.25">
      <c r="A6" s="16">
        <v>2</v>
      </c>
      <c r="B6" s="16">
        <v>0</v>
      </c>
      <c r="C6">
        <v>2</v>
      </c>
      <c r="D6">
        <v>0</v>
      </c>
      <c r="G6" s="10" t="s">
        <v>34</v>
      </c>
      <c r="H6" s="8">
        <v>465000</v>
      </c>
      <c r="I6" s="8">
        <v>142000</v>
      </c>
      <c r="J6" s="8"/>
      <c r="K6" s="8"/>
      <c r="L6" s="8"/>
      <c r="M6" s="8"/>
      <c r="N6" s="8"/>
      <c r="O6" s="8"/>
      <c r="P6" s="8"/>
      <c r="Q6" s="8"/>
      <c r="R6" s="8"/>
      <c r="S6" s="8"/>
      <c r="T6" s="4"/>
      <c r="U6" s="4"/>
      <c r="W6" s="6" t="s">
        <v>403</v>
      </c>
      <c r="AC6" s="6"/>
      <c r="AD6" s="6"/>
      <c r="AE6" s="6"/>
      <c r="AF6" s="6"/>
      <c r="AG6" s="37" t="s">
        <v>404</v>
      </c>
      <c r="AH6" s="36"/>
    </row>
    <row r="7" spans="1:34" x14ac:dyDescent="0.2">
      <c r="A7" s="16">
        <v>3</v>
      </c>
      <c r="B7" s="16">
        <v>0</v>
      </c>
      <c r="C7">
        <v>3</v>
      </c>
      <c r="D7">
        <v>0</v>
      </c>
      <c r="G7" s="10" t="s">
        <v>405</v>
      </c>
      <c r="H7" s="8">
        <v>465000</v>
      </c>
      <c r="I7" s="8">
        <v>142000</v>
      </c>
      <c r="J7" s="8"/>
      <c r="K7" s="8"/>
      <c r="L7" s="8"/>
      <c r="M7" s="8"/>
      <c r="N7" s="8"/>
      <c r="O7" s="8"/>
      <c r="P7" s="8"/>
      <c r="Q7" s="8"/>
      <c r="R7" s="8"/>
      <c r="S7" s="8"/>
      <c r="T7" s="4"/>
      <c r="U7" s="4"/>
      <c r="W7" s="6" t="s">
        <v>406</v>
      </c>
      <c r="AC7" s="6"/>
      <c r="AD7" s="6"/>
      <c r="AE7" s="6"/>
      <c r="AF7" s="6"/>
      <c r="AH7" s="36" t="s">
        <v>407</v>
      </c>
    </row>
    <row r="8" spans="1:34" x14ac:dyDescent="0.2">
      <c r="A8" s="16">
        <v>4</v>
      </c>
      <c r="B8" s="16">
        <v>0</v>
      </c>
      <c r="C8">
        <v>4</v>
      </c>
      <c r="D8">
        <v>0</v>
      </c>
      <c r="G8" s="10" t="s">
        <v>408</v>
      </c>
      <c r="H8" s="8"/>
      <c r="I8" s="8"/>
      <c r="J8" s="8">
        <v>465000</v>
      </c>
      <c r="K8" s="307">
        <f>$J8*J$33</f>
        <v>522682.09922671865</v>
      </c>
      <c r="L8" s="307">
        <f t="shared" ref="L8:S8" si="0">$J8*K$33</f>
        <v>550443.05222189764</v>
      </c>
      <c r="M8" s="307">
        <f t="shared" si="0"/>
        <v>579678.45883303322</v>
      </c>
      <c r="N8" s="307">
        <f t="shared" si="0"/>
        <v>610466.63097780256</v>
      </c>
      <c r="O8" s="307">
        <f t="shared" si="0"/>
        <v>642890.03991561115</v>
      </c>
      <c r="P8" s="307">
        <f t="shared" si="0"/>
        <v>677035.53716062894</v>
      </c>
      <c r="Q8" s="307">
        <f t="shared" si="0"/>
        <v>712994.58712807274</v>
      </c>
      <c r="R8" s="307">
        <f t="shared" si="0"/>
        <v>750863.51213691244</v>
      </c>
      <c r="S8" s="307">
        <f t="shared" si="0"/>
        <v>790743.75042528415</v>
      </c>
      <c r="T8" s="4"/>
      <c r="U8" s="4"/>
      <c r="W8" s="6" t="s">
        <v>406</v>
      </c>
      <c r="AC8" s="6"/>
      <c r="AD8" s="6"/>
      <c r="AE8" s="6"/>
      <c r="AF8" s="6"/>
      <c r="AH8" s="36"/>
    </row>
    <row r="9" spans="1:34" s="99" customFormat="1" x14ac:dyDescent="0.2">
      <c r="A9" s="16">
        <v>5</v>
      </c>
      <c r="B9" s="16">
        <v>0</v>
      </c>
      <c r="C9" s="99">
        <v>5</v>
      </c>
      <c r="D9" s="99">
        <v>0</v>
      </c>
      <c r="G9" s="10" t="s">
        <v>409</v>
      </c>
      <c r="H9" s="8"/>
      <c r="I9" s="8"/>
      <c r="J9" s="8">
        <v>142000</v>
      </c>
      <c r="K9" s="307">
        <f t="shared" ref="K9:S11" si="1">$J9*J$33</f>
        <v>159614.74858106248</v>
      </c>
      <c r="L9" s="307">
        <f t="shared" si="1"/>
        <v>168092.28691507413</v>
      </c>
      <c r="M9" s="307">
        <f t="shared" si="1"/>
        <v>177020.088503851</v>
      </c>
      <c r="N9" s="307">
        <f t="shared" si="1"/>
        <v>186422.06795451176</v>
      </c>
      <c r="O9" s="307">
        <f t="shared" si="1"/>
        <v>196323.41003874576</v>
      </c>
      <c r="P9" s="307">
        <f t="shared" si="1"/>
        <v>206750.63715442864</v>
      </c>
      <c r="Q9" s="307">
        <f t="shared" si="1"/>
        <v>217731.68037029318</v>
      </c>
      <c r="R9" s="307">
        <f t="shared" si="1"/>
        <v>229295.95424396035</v>
      </c>
      <c r="S9" s="307">
        <f t="shared" si="1"/>
        <v>241474.43561374271</v>
      </c>
      <c r="T9" s="4"/>
      <c r="U9" s="4"/>
      <c r="W9" s="6" t="s">
        <v>410</v>
      </c>
      <c r="AC9" s="6"/>
      <c r="AD9" s="6"/>
      <c r="AE9" s="6"/>
      <c r="AF9" s="6"/>
      <c r="AG9"/>
      <c r="AH9" s="36"/>
    </row>
    <row r="10" spans="1:34" x14ac:dyDescent="0.2">
      <c r="A10" s="16">
        <v>6</v>
      </c>
      <c r="B10" s="16">
        <v>0</v>
      </c>
      <c r="C10">
        <v>6</v>
      </c>
      <c r="D10">
        <v>0</v>
      </c>
      <c r="G10" s="10" t="s">
        <v>411</v>
      </c>
      <c r="H10" s="8"/>
      <c r="I10" s="8"/>
      <c r="J10" s="8">
        <v>465000</v>
      </c>
      <c r="K10" s="307">
        <f t="shared" si="1"/>
        <v>522682.09922671865</v>
      </c>
      <c r="L10" s="307">
        <f t="shared" si="1"/>
        <v>550443.05222189764</v>
      </c>
      <c r="M10" s="307">
        <f t="shared" si="1"/>
        <v>579678.45883303322</v>
      </c>
      <c r="N10" s="307">
        <f t="shared" si="1"/>
        <v>610466.63097780256</v>
      </c>
      <c r="O10" s="307">
        <f t="shared" si="1"/>
        <v>642890.03991561115</v>
      </c>
      <c r="P10" s="307">
        <f t="shared" si="1"/>
        <v>677035.53716062894</v>
      </c>
      <c r="Q10" s="307">
        <f t="shared" si="1"/>
        <v>712994.58712807274</v>
      </c>
      <c r="R10" s="307">
        <f t="shared" si="1"/>
        <v>750863.51213691244</v>
      </c>
      <c r="S10" s="307">
        <f t="shared" si="1"/>
        <v>790743.75042528415</v>
      </c>
      <c r="T10" s="4"/>
      <c r="U10" s="4"/>
      <c r="W10" s="6" t="s">
        <v>412</v>
      </c>
      <c r="AC10" s="6"/>
      <c r="AD10" s="6"/>
      <c r="AE10" s="6"/>
      <c r="AF10" s="6"/>
    </row>
    <row r="11" spans="1:34" x14ac:dyDescent="0.2">
      <c r="A11" s="16">
        <v>7</v>
      </c>
      <c r="B11" s="16">
        <v>0</v>
      </c>
      <c r="C11">
        <v>7</v>
      </c>
      <c r="D11">
        <v>0</v>
      </c>
      <c r="G11" s="10" t="s">
        <v>413</v>
      </c>
      <c r="H11" s="8"/>
      <c r="I11" s="8"/>
      <c r="J11" s="8">
        <v>142000</v>
      </c>
      <c r="K11" s="307">
        <f t="shared" si="1"/>
        <v>159614.74858106248</v>
      </c>
      <c r="L11" s="307">
        <f t="shared" si="1"/>
        <v>168092.28691507413</v>
      </c>
      <c r="M11" s="307">
        <f t="shared" si="1"/>
        <v>177020.088503851</v>
      </c>
      <c r="N11" s="307">
        <f t="shared" si="1"/>
        <v>186422.06795451176</v>
      </c>
      <c r="O11" s="307">
        <f t="shared" si="1"/>
        <v>196323.41003874576</v>
      </c>
      <c r="P11" s="307">
        <f t="shared" si="1"/>
        <v>206750.63715442864</v>
      </c>
      <c r="Q11" s="307">
        <f t="shared" si="1"/>
        <v>217731.68037029318</v>
      </c>
      <c r="R11" s="307">
        <f t="shared" si="1"/>
        <v>229295.95424396035</v>
      </c>
      <c r="S11" s="307">
        <f t="shared" si="1"/>
        <v>241474.43561374271</v>
      </c>
      <c r="T11" s="4"/>
      <c r="U11" s="4"/>
      <c r="W11" s="6" t="s">
        <v>414</v>
      </c>
      <c r="AC11" s="6"/>
      <c r="AD11" s="6"/>
      <c r="AE11" s="6"/>
      <c r="AF11" s="6"/>
    </row>
    <row r="12" spans="1:34" x14ac:dyDescent="0.2">
      <c r="A12" s="16">
        <v>8</v>
      </c>
      <c r="B12" s="16">
        <v>0</v>
      </c>
      <c r="C12">
        <v>8</v>
      </c>
      <c r="D12">
        <v>0</v>
      </c>
      <c r="K12" s="6"/>
      <c r="S12" s="4"/>
      <c r="T12" s="4"/>
      <c r="U12" s="4"/>
      <c r="AD12" s="6"/>
      <c r="AE12" s="6"/>
      <c r="AF12" s="6"/>
    </row>
    <row r="13" spans="1:34" ht="15" x14ac:dyDescent="0.25">
      <c r="A13" s="16">
        <v>9</v>
      </c>
      <c r="B13" s="16">
        <v>0</v>
      </c>
      <c r="C13">
        <v>9</v>
      </c>
      <c r="D13">
        <v>0</v>
      </c>
      <c r="G13" s="6" t="s">
        <v>415</v>
      </c>
      <c r="H13" s="12"/>
      <c r="I13" s="12" t="s">
        <v>416</v>
      </c>
      <c r="J13" s="43">
        <f>IF(Registrering!$C$27="",0,IF(Registrering!$C$27=Tabeller!$G$6,Tabeller!J8,Tabeller!J10))</f>
        <v>465000</v>
      </c>
      <c r="K13" s="43">
        <f>IF(Registrering!$C$27="",0,IF(Registrering!$C$27=Tabeller!$G$6,Tabeller!K8,Tabeller!K10))</f>
        <v>522682.09922671865</v>
      </c>
      <c r="L13" s="43">
        <f>IF(Registrering!$C$27="",0,IF(Registrering!$C$27=Tabeller!$G$6,Tabeller!L8,Tabeller!L10))</f>
        <v>550443.05222189764</v>
      </c>
      <c r="M13" s="43">
        <f>IF(Registrering!$C$27="",0,IF(Registrering!$C$27=Tabeller!$G$6,Tabeller!M8,Tabeller!M10))</f>
        <v>579678.45883303322</v>
      </c>
      <c r="N13" s="43">
        <f>IF(Registrering!$C$27="",0,IF(Registrering!$C$27=Tabeller!$G$6,Tabeller!N8,Tabeller!N10))</f>
        <v>610466.63097780256</v>
      </c>
      <c r="O13" s="43">
        <f>IF(Registrering!$C$27="",0,IF(Registrering!$C$27=Tabeller!$G$6,Tabeller!O8,Tabeller!O10))</f>
        <v>642890.03991561115</v>
      </c>
      <c r="P13" s="43">
        <f>IF(Registrering!$C$27="",0,IF(Registrering!$C$27=Tabeller!$G$6,Tabeller!P8,Tabeller!P10))</f>
        <v>677035.53716062894</v>
      </c>
      <c r="Q13" s="43">
        <f>IF(Registrering!$C$27="",0,IF(Registrering!$C$27=Tabeller!$G$6,Tabeller!Q8,Tabeller!Q10))</f>
        <v>712994.58712807274</v>
      </c>
      <c r="R13" s="43">
        <f>IF(Registrering!$C$27="",0,IF(Registrering!$C$27=Tabeller!$G$6,Tabeller!R8,Tabeller!R10))</f>
        <v>750863.51213691244</v>
      </c>
      <c r="S13" s="43">
        <f>IF(Registrering!$C$27="",0,IF(Registrering!$C$27=Tabeller!$G$6,Tabeller!S8,Tabeller!S10))</f>
        <v>790743.75042528415</v>
      </c>
      <c r="AC13" s="6"/>
      <c r="AD13" s="6"/>
      <c r="AE13" s="6"/>
      <c r="AF13" s="6"/>
    </row>
    <row r="14" spans="1:34" ht="15" x14ac:dyDescent="0.25">
      <c r="A14" s="16">
        <v>10</v>
      </c>
      <c r="B14" s="16">
        <v>0</v>
      </c>
      <c r="C14">
        <v>10</v>
      </c>
      <c r="D14">
        <v>0</v>
      </c>
      <c r="I14" t="s">
        <v>417</v>
      </c>
      <c r="J14" s="43">
        <f>IF(Registrering!$C$27="",0,IF(Registrering!$C$27=Tabeller!$G$6,Tabeller!J9,Tabeller!J11))</f>
        <v>142000</v>
      </c>
      <c r="K14" s="43">
        <f>IF(Registrering!$C$27="",0,IF(Registrering!$C$27=Tabeller!$G$6,Tabeller!K9,Tabeller!K11))</f>
        <v>159614.74858106248</v>
      </c>
      <c r="L14" s="43">
        <f>IF(Registrering!$C$27="",0,IF(Registrering!$C$27=Tabeller!$G$6,Tabeller!L9,Tabeller!L11))</f>
        <v>168092.28691507413</v>
      </c>
      <c r="M14" s="43">
        <f>IF(Registrering!$C$27="",0,IF(Registrering!$C$27=Tabeller!$G$6,Tabeller!M9,Tabeller!M11))</f>
        <v>177020.088503851</v>
      </c>
      <c r="N14" s="43">
        <f>IF(Registrering!$C$27="",0,IF(Registrering!$C$27=Tabeller!$G$6,Tabeller!N9,Tabeller!N11))</f>
        <v>186422.06795451176</v>
      </c>
      <c r="O14" s="43">
        <f>IF(Registrering!$C$27="",0,IF(Registrering!$C$27=Tabeller!$G$6,Tabeller!O9,Tabeller!O11))</f>
        <v>196323.41003874576</v>
      </c>
      <c r="P14" s="43">
        <f>IF(Registrering!$C$27="",0,IF(Registrering!$C$27=Tabeller!$G$6,Tabeller!P9,Tabeller!P11))</f>
        <v>206750.63715442864</v>
      </c>
      <c r="Q14" s="43">
        <f>IF(Registrering!$C$27="",0,IF(Registrering!$C$27=Tabeller!$G$6,Tabeller!Q9,Tabeller!Q11))</f>
        <v>217731.68037029318</v>
      </c>
      <c r="R14" s="43">
        <f>IF(Registrering!$C$27="",0,IF(Registrering!$C$27=Tabeller!$G$6,Tabeller!R9,Tabeller!R11))</f>
        <v>229295.95424396035</v>
      </c>
      <c r="S14" s="43">
        <f>IF(Registrering!$C$27="",0,IF(Registrering!$C$27=Tabeller!$G$6,Tabeller!S9,Tabeller!S11))</f>
        <v>241474.43561374271</v>
      </c>
      <c r="X14" s="12"/>
      <c r="Y14" s="12"/>
      <c r="Z14" s="12"/>
      <c r="AA14" s="6"/>
      <c r="AB14" s="12"/>
      <c r="AC14" s="12"/>
      <c r="AD14" s="6"/>
      <c r="AE14" s="6"/>
      <c r="AF14" s="6"/>
    </row>
    <row r="15" spans="1:34" x14ac:dyDescent="0.2">
      <c r="A15" s="16">
        <v>11</v>
      </c>
      <c r="B15" s="16">
        <v>0</v>
      </c>
      <c r="C15">
        <v>11</v>
      </c>
      <c r="D15">
        <v>0</v>
      </c>
      <c r="J15" s="114"/>
      <c r="W15" s="5" t="s">
        <v>418</v>
      </c>
      <c r="Z15" s="5" t="s">
        <v>419</v>
      </c>
      <c r="AA15" s="6"/>
      <c r="AB15" s="1"/>
      <c r="AC15" s="1"/>
      <c r="AD15" s="1"/>
      <c r="AE15" s="6"/>
      <c r="AF15" s="6"/>
    </row>
    <row r="16" spans="1:34" ht="21" x14ac:dyDescent="0.35">
      <c r="A16" s="16">
        <v>12</v>
      </c>
      <c r="B16" s="16">
        <v>0</v>
      </c>
      <c r="C16">
        <v>12</v>
      </c>
      <c r="D16">
        <v>0</v>
      </c>
      <c r="F16" s="308"/>
      <c r="G16" s="415" t="s">
        <v>420</v>
      </c>
      <c r="H16" s="416"/>
      <c r="I16" s="416"/>
      <c r="J16" s="416"/>
      <c r="K16" s="416"/>
      <c r="L16" s="416"/>
      <c r="M16" s="416"/>
      <c r="N16" s="416"/>
      <c r="O16" s="309"/>
      <c r="W16" t="s">
        <v>421</v>
      </c>
      <c r="Z16" t="s">
        <v>285</v>
      </c>
      <c r="AB16" s="1"/>
      <c r="AC16" s="1"/>
      <c r="AD16" s="1"/>
      <c r="AE16" s="6"/>
      <c r="AF16" s="6"/>
    </row>
    <row r="17" spans="1:34" x14ac:dyDescent="0.2">
      <c r="A17" s="16">
        <v>13</v>
      </c>
      <c r="B17" s="16">
        <v>0</v>
      </c>
      <c r="C17">
        <v>13</v>
      </c>
      <c r="D17">
        <v>0</v>
      </c>
      <c r="F17" s="310"/>
      <c r="G17" s="311"/>
      <c r="H17" s="311"/>
      <c r="I17" s="311"/>
      <c r="J17" s="311"/>
      <c r="K17" s="311"/>
      <c r="L17" s="311"/>
      <c r="M17" s="311"/>
      <c r="N17" s="311"/>
      <c r="O17" s="312"/>
      <c r="W17" t="s">
        <v>422</v>
      </c>
      <c r="Z17" t="s">
        <v>286</v>
      </c>
      <c r="AE17" s="6"/>
      <c r="AF17" s="6"/>
    </row>
    <row r="18" spans="1:34" x14ac:dyDescent="0.2">
      <c r="A18" s="16">
        <v>14</v>
      </c>
      <c r="B18" s="16">
        <v>0</v>
      </c>
      <c r="C18">
        <v>14</v>
      </c>
      <c r="D18">
        <v>0</v>
      </c>
      <c r="F18" s="310"/>
      <c r="G18" s="311"/>
      <c r="H18" s="311"/>
      <c r="I18" s="311"/>
      <c r="J18" s="311"/>
      <c r="K18" s="311"/>
      <c r="L18" s="313" t="s">
        <v>423</v>
      </c>
      <c r="M18" s="311"/>
      <c r="N18" s="311"/>
      <c r="O18" s="312"/>
      <c r="S18" s="18"/>
      <c r="T18" s="18"/>
      <c r="U18" s="18"/>
      <c r="W18" t="s">
        <v>424</v>
      </c>
      <c r="Z18" t="s">
        <v>286</v>
      </c>
      <c r="AE18" s="6"/>
      <c r="AF18" s="6"/>
    </row>
    <row r="19" spans="1:34" x14ac:dyDescent="0.2">
      <c r="A19" s="16">
        <v>15</v>
      </c>
      <c r="B19" s="16">
        <v>0</v>
      </c>
      <c r="C19">
        <v>15</v>
      </c>
      <c r="D19">
        <v>0</v>
      </c>
      <c r="F19" s="310"/>
      <c r="G19" s="248"/>
      <c r="H19" s="248"/>
      <c r="I19" s="314"/>
      <c r="J19" s="314"/>
      <c r="K19" s="314"/>
      <c r="L19" s="314" t="s">
        <v>425</v>
      </c>
      <c r="M19" s="315" t="s">
        <v>426</v>
      </c>
      <c r="N19" s="313"/>
      <c r="O19" s="312"/>
      <c r="P19" s="4"/>
      <c r="Q19" s="4"/>
      <c r="R19" s="4"/>
      <c r="S19" s="1"/>
      <c r="T19" s="1"/>
      <c r="U19" s="1"/>
      <c r="W19" t="s">
        <v>427</v>
      </c>
      <c r="Z19" t="s">
        <v>286</v>
      </c>
    </row>
    <row r="20" spans="1:34" ht="15" x14ac:dyDescent="0.25">
      <c r="A20" s="16">
        <v>16</v>
      </c>
      <c r="B20" s="16">
        <v>0</v>
      </c>
      <c r="C20">
        <v>16</v>
      </c>
      <c r="D20">
        <v>0</v>
      </c>
      <c r="F20" s="310"/>
      <c r="G20" s="316" t="s">
        <v>428</v>
      </c>
      <c r="H20" s="317" t="s">
        <v>429</v>
      </c>
      <c r="I20" s="318" t="s">
        <v>430</v>
      </c>
      <c r="J20" s="319" t="s">
        <v>431</v>
      </c>
      <c r="K20" s="317" t="s">
        <v>432</v>
      </c>
      <c r="L20" s="319" t="s">
        <v>431</v>
      </c>
      <c r="M20" s="313"/>
      <c r="N20" s="311"/>
      <c r="O20" s="312"/>
      <c r="P20" s="4"/>
      <c r="Q20" s="4"/>
      <c r="R20" s="4"/>
      <c r="S20" s="6"/>
      <c r="T20" s="6"/>
      <c r="U20" s="6"/>
      <c r="W20" t="s">
        <v>433</v>
      </c>
      <c r="Z20" t="s">
        <v>286</v>
      </c>
    </row>
    <row r="21" spans="1:34" x14ac:dyDescent="0.2">
      <c r="A21" s="16">
        <v>17</v>
      </c>
      <c r="B21" s="16">
        <v>0</v>
      </c>
      <c r="C21">
        <v>17</v>
      </c>
      <c r="D21">
        <v>0</v>
      </c>
      <c r="F21" s="310"/>
      <c r="G21" s="248" t="s">
        <v>434</v>
      </c>
      <c r="H21" s="249">
        <v>45</v>
      </c>
      <c r="I21" s="248"/>
      <c r="J21" s="249"/>
      <c r="K21" s="258">
        <v>416400</v>
      </c>
      <c r="L21" s="249"/>
      <c r="M21" s="313"/>
      <c r="N21" s="313"/>
      <c r="O21" s="312"/>
      <c r="P21" s="4"/>
      <c r="Q21" s="4"/>
      <c r="R21" s="4"/>
      <c r="S21" s="18"/>
      <c r="T21" s="18"/>
      <c r="U21" s="18"/>
      <c r="W21" t="s">
        <v>364</v>
      </c>
      <c r="Z21" t="s">
        <v>287</v>
      </c>
      <c r="AE21" s="6"/>
      <c r="AF21" s="6"/>
    </row>
    <row r="22" spans="1:34" x14ac:dyDescent="0.2">
      <c r="A22" s="16">
        <v>18</v>
      </c>
      <c r="B22" s="16">
        <v>0</v>
      </c>
      <c r="C22">
        <v>18</v>
      </c>
      <c r="D22">
        <v>0</v>
      </c>
      <c r="F22" s="310"/>
      <c r="G22" s="320"/>
      <c r="H22" s="249"/>
      <c r="I22" s="248"/>
      <c r="J22" s="249"/>
      <c r="K22" s="249"/>
      <c r="L22" s="249"/>
      <c r="M22" s="313"/>
      <c r="N22" s="313"/>
      <c r="O22" s="312"/>
      <c r="P22" s="4"/>
      <c r="Q22" s="4"/>
      <c r="R22" s="4"/>
      <c r="S22" s="1"/>
      <c r="T22" s="1"/>
      <c r="U22" s="1"/>
      <c r="W22" t="s">
        <v>365</v>
      </c>
      <c r="Z22" t="s">
        <v>288</v>
      </c>
      <c r="AE22" s="6"/>
      <c r="AF22" s="6"/>
    </row>
    <row r="23" spans="1:34" x14ac:dyDescent="0.2">
      <c r="A23" s="16">
        <v>19</v>
      </c>
      <c r="B23" s="305">
        <v>350800</v>
      </c>
      <c r="C23" s="6">
        <v>19</v>
      </c>
      <c r="D23" s="304">
        <f>MROUND((B23-400)/1950,0.1)</f>
        <v>179.70000000000002</v>
      </c>
      <c r="F23" s="310"/>
      <c r="G23" s="248" t="s">
        <v>435</v>
      </c>
      <c r="H23" s="248"/>
      <c r="I23" s="248" t="s">
        <v>436</v>
      </c>
      <c r="J23" s="249"/>
      <c r="K23" s="250">
        <v>376000</v>
      </c>
      <c r="L23" s="251">
        <v>0.90297790585975024</v>
      </c>
      <c r="M23" s="251">
        <v>0.90015148156358538</v>
      </c>
      <c r="N23" s="313"/>
      <c r="O23" s="312"/>
      <c r="P23" s="4"/>
      <c r="Q23" s="4"/>
      <c r="R23" s="4"/>
      <c r="S23" s="14"/>
      <c r="T23" s="14"/>
      <c r="U23" s="14"/>
      <c r="W23" t="s">
        <v>117</v>
      </c>
      <c r="Z23" t="s">
        <v>289</v>
      </c>
      <c r="AE23" s="6"/>
      <c r="AF23" s="6"/>
    </row>
    <row r="24" spans="1:34" x14ac:dyDescent="0.2">
      <c r="A24" s="16">
        <v>20</v>
      </c>
      <c r="B24" s="305">
        <v>354300</v>
      </c>
      <c r="C24">
        <v>20</v>
      </c>
      <c r="D24" s="304">
        <f t="shared" ref="D24:D87" si="2">MROUND((B24-400)/1950,0.1)</f>
        <v>181.5</v>
      </c>
      <c r="F24" s="310"/>
      <c r="G24" s="248" t="s">
        <v>437</v>
      </c>
      <c r="H24" s="252">
        <v>0.12</v>
      </c>
      <c r="I24" s="253">
        <v>0.88</v>
      </c>
      <c r="J24" s="254">
        <v>0.12</v>
      </c>
      <c r="K24" s="255">
        <v>45120</v>
      </c>
      <c r="L24" s="251">
        <v>0.10835734870317003</v>
      </c>
      <c r="M24" s="251">
        <v>0.10801817778763025</v>
      </c>
      <c r="N24" s="313"/>
      <c r="O24" s="312"/>
      <c r="P24" s="4"/>
      <c r="Q24" s="4"/>
      <c r="R24" s="4"/>
      <c r="S24" s="1"/>
      <c r="T24" s="1"/>
      <c r="U24" s="1"/>
      <c r="AE24" s="6"/>
      <c r="AF24" s="6"/>
    </row>
    <row r="25" spans="1:34" x14ac:dyDescent="0.2">
      <c r="A25" s="16">
        <v>21</v>
      </c>
      <c r="B25" s="305">
        <v>358300</v>
      </c>
      <c r="C25">
        <v>21</v>
      </c>
      <c r="D25" s="304">
        <f t="shared" si="2"/>
        <v>183.5</v>
      </c>
      <c r="F25" s="310"/>
      <c r="G25" s="248" t="s">
        <v>79</v>
      </c>
      <c r="H25" s="256">
        <v>0.09</v>
      </c>
      <c r="I25" s="253">
        <v>0.86280851063829789</v>
      </c>
      <c r="J25" s="254">
        <v>0.13719148936170206</v>
      </c>
      <c r="K25" s="255">
        <v>37440</v>
      </c>
      <c r="L25" s="251">
        <v>8.9913544668587891E-2</v>
      </c>
      <c r="M25" s="251">
        <v>0.13244104226705089</v>
      </c>
      <c r="N25" s="313"/>
      <c r="O25" s="312"/>
      <c r="P25" s="4"/>
      <c r="Q25" s="4"/>
      <c r="R25" s="4"/>
      <c r="S25" s="18"/>
      <c r="T25" s="18"/>
      <c r="U25" s="18"/>
      <c r="AE25" s="6"/>
      <c r="AF25" s="6"/>
      <c r="AH25" s="5"/>
    </row>
    <row r="26" spans="1:34" x14ac:dyDescent="0.2">
      <c r="A26" s="16">
        <v>22</v>
      </c>
      <c r="B26" s="305">
        <v>361900</v>
      </c>
      <c r="C26">
        <v>22</v>
      </c>
      <c r="D26" s="304">
        <f t="shared" si="2"/>
        <v>185.4</v>
      </c>
      <c r="F26" s="310"/>
      <c r="G26" s="248" t="s">
        <v>438</v>
      </c>
      <c r="H26" s="257">
        <v>0.14099999999999999</v>
      </c>
      <c r="I26" s="253">
        <v>0.82273600000000002</v>
      </c>
      <c r="J26" s="254">
        <v>0.17726399999999998</v>
      </c>
      <c r="K26" s="255">
        <v>64656.959999999992</v>
      </c>
      <c r="L26" s="251">
        <v>0.15527608069164264</v>
      </c>
      <c r="M26" s="251">
        <v>0.16082610892817556</v>
      </c>
      <c r="N26" s="313"/>
      <c r="O26" s="312"/>
      <c r="P26" s="4"/>
      <c r="Q26" s="4"/>
      <c r="R26" s="4"/>
      <c r="S26" s="2"/>
      <c r="T26" s="2"/>
      <c r="U26" s="2"/>
      <c r="AB26" s="6"/>
      <c r="AC26" s="6"/>
      <c r="AD26" s="6"/>
      <c r="AE26" s="6"/>
      <c r="AF26" s="6"/>
      <c r="AH26" s="5"/>
    </row>
    <row r="27" spans="1:34" x14ac:dyDescent="0.2">
      <c r="A27" s="16">
        <v>23</v>
      </c>
      <c r="B27" s="305">
        <v>365800</v>
      </c>
      <c r="C27">
        <v>23</v>
      </c>
      <c r="D27" s="304">
        <f t="shared" si="2"/>
        <v>187.4</v>
      </c>
      <c r="F27" s="310"/>
      <c r="G27" s="248" t="s">
        <v>439</v>
      </c>
      <c r="H27" s="253">
        <v>0.14099999999999999</v>
      </c>
      <c r="I27" s="248" t="s">
        <v>45</v>
      </c>
      <c r="J27" s="251">
        <v>0.43445548936170203</v>
      </c>
      <c r="K27" s="258">
        <v>523216.95999999996</v>
      </c>
      <c r="L27" s="251"/>
      <c r="M27" s="313"/>
      <c r="N27" s="313"/>
      <c r="O27" s="312"/>
      <c r="P27" s="4"/>
      <c r="Q27" s="4"/>
      <c r="R27" s="4"/>
      <c r="AE27" s="6"/>
      <c r="AF27" s="6"/>
      <c r="AH27" s="5"/>
    </row>
    <row r="28" spans="1:34" x14ac:dyDescent="0.2">
      <c r="A28" s="16">
        <v>24</v>
      </c>
      <c r="B28" s="305">
        <v>369800</v>
      </c>
      <c r="C28">
        <v>24</v>
      </c>
      <c r="D28" s="304">
        <f t="shared" si="2"/>
        <v>189.4</v>
      </c>
      <c r="F28" s="310"/>
      <c r="G28" s="311"/>
      <c r="H28" s="311"/>
      <c r="I28" s="311"/>
      <c r="J28" s="311"/>
      <c r="K28" s="311"/>
      <c r="L28" s="311"/>
      <c r="M28" s="311"/>
      <c r="N28" s="311"/>
      <c r="O28" s="312"/>
      <c r="AE28" s="6"/>
      <c r="AF28" s="6"/>
      <c r="AH28" s="5"/>
    </row>
    <row r="29" spans="1:34" x14ac:dyDescent="0.2">
      <c r="A29" s="16">
        <v>25</v>
      </c>
      <c r="B29" s="305">
        <v>374000</v>
      </c>
      <c r="C29">
        <v>25</v>
      </c>
      <c r="D29" s="304">
        <f t="shared" si="2"/>
        <v>191.60000000000002</v>
      </c>
      <c r="F29" s="321"/>
      <c r="G29" s="322"/>
      <c r="H29" s="322"/>
      <c r="I29" s="322"/>
      <c r="J29" s="322"/>
      <c r="K29" s="322"/>
      <c r="L29" s="322"/>
      <c r="M29" s="322"/>
      <c r="N29" s="322"/>
      <c r="O29" s="323"/>
      <c r="AE29" s="6"/>
      <c r="AF29" s="6"/>
      <c r="AH29" s="5"/>
    </row>
    <row r="30" spans="1:34" x14ac:dyDescent="0.2">
      <c r="A30" s="16">
        <v>26</v>
      </c>
      <c r="B30" s="305">
        <v>378300</v>
      </c>
      <c r="C30">
        <v>26</v>
      </c>
      <c r="D30" s="304">
        <f t="shared" si="2"/>
        <v>193.8</v>
      </c>
      <c r="H30" s="104" t="s">
        <v>440</v>
      </c>
      <c r="I30" s="105">
        <v>2024</v>
      </c>
      <c r="J30" s="106">
        <v>4.9000000000000002E-2</v>
      </c>
      <c r="K30" s="105">
        <v>2025</v>
      </c>
      <c r="L30" s="106">
        <v>3.5000000000000003E-2</v>
      </c>
      <c r="M30" s="105" t="s">
        <v>441</v>
      </c>
      <c r="N30" s="106">
        <v>3.5000000000000003E-2</v>
      </c>
      <c r="O30" s="107" t="s">
        <v>442</v>
      </c>
      <c r="P30" s="106">
        <v>0</v>
      </c>
      <c r="AE30" s="6"/>
      <c r="AF30" s="6"/>
      <c r="AH30" s="5"/>
    </row>
    <row r="31" spans="1:34" x14ac:dyDescent="0.2">
      <c r="A31" s="16">
        <v>27</v>
      </c>
      <c r="B31" s="305">
        <v>382300</v>
      </c>
      <c r="C31">
        <v>27</v>
      </c>
      <c r="D31" s="304">
        <f t="shared" si="2"/>
        <v>195.8</v>
      </c>
      <c r="AE31" s="6"/>
      <c r="AF31" s="6"/>
      <c r="AH31" s="5"/>
    </row>
    <row r="32" spans="1:34" x14ac:dyDescent="0.2">
      <c r="A32" s="16">
        <v>28</v>
      </c>
      <c r="B32" s="305">
        <v>386300</v>
      </c>
      <c r="C32">
        <v>28</v>
      </c>
      <c r="D32" s="304">
        <f t="shared" si="2"/>
        <v>197.9</v>
      </c>
      <c r="I32" s="17" t="str">
        <f>J5</f>
        <v>Periode 1 (1-18 month)</v>
      </c>
      <c r="J32" s="17" t="str">
        <f t="shared" ref="J32:R32" si="3">K5</f>
        <v>Periode 2 (19-36 month)</v>
      </c>
      <c r="K32" s="17" t="str">
        <f t="shared" si="3"/>
        <v>Periode 3 (37-54 month)</v>
      </c>
      <c r="L32" s="17" t="str">
        <f t="shared" si="3"/>
        <v>Periode 4 (55-60 (72) month)</v>
      </c>
      <c r="M32" s="17" t="e">
        <f t="shared" si="3"/>
        <v>#REF!</v>
      </c>
      <c r="N32" s="17" t="e">
        <f t="shared" si="3"/>
        <v>#REF!</v>
      </c>
      <c r="O32" s="17" t="e">
        <f t="shared" si="3"/>
        <v>#REF!</v>
      </c>
      <c r="P32" s="17" t="e">
        <f t="shared" si="3"/>
        <v>#REF!</v>
      </c>
      <c r="Q32" s="17" t="e">
        <f t="shared" si="3"/>
        <v>#REF!</v>
      </c>
      <c r="R32" s="17" t="e">
        <f t="shared" si="3"/>
        <v>#REF!</v>
      </c>
      <c r="AE32" s="6"/>
      <c r="AF32" s="6"/>
    </row>
    <row r="33" spans="1:32" x14ac:dyDescent="0.2">
      <c r="A33" s="16">
        <v>29</v>
      </c>
      <c r="B33" s="305">
        <v>390100</v>
      </c>
      <c r="C33">
        <v>29</v>
      </c>
      <c r="D33" s="304">
        <f t="shared" si="2"/>
        <v>199.8</v>
      </c>
      <c r="G33" s="13" t="s">
        <v>443</v>
      </c>
      <c r="H33" s="1"/>
      <c r="I33" s="18">
        <f>(I34*(1+(Registrering!$E$29/2)))</f>
        <v>1.0673575</v>
      </c>
      <c r="J33" s="18">
        <f>IF(Registrering!$C29="Ja",I33*$J34,I33)</f>
        <v>1.1240475252187498</v>
      </c>
      <c r="K33" s="18">
        <f>IF(Registrering!$C29="Ja",J33*$J34,J33)</f>
        <v>1.1837484994019305</v>
      </c>
      <c r="L33" s="18">
        <f>IF(Registrering!$C29="Ja",K33*$J34,K33)</f>
        <v>1.2466203415764154</v>
      </c>
      <c r="M33" s="18">
        <f>IF(Registrering!$C29="Ja",L33*$J34,L33)</f>
        <v>1.3128314644683927</v>
      </c>
      <c r="N33" s="18">
        <f>IF(Registrering!$C29="Ja",M33*$J34,M33)</f>
        <v>1.3825592256249701</v>
      </c>
      <c r="O33" s="18">
        <f>IF(Registrering!$C29="Ja",N33*$J34,N33)</f>
        <v>1.4559904024959762</v>
      </c>
      <c r="P33" s="18">
        <f>IF(Registrering!$C29="Ja",O33*$J34,O33)</f>
        <v>1.5333216927485436</v>
      </c>
      <c r="Q33" s="18">
        <f>IF(Registrering!$C29="Ja",P33*$J34,P33)</f>
        <v>1.6147602411546504</v>
      </c>
      <c r="R33" s="18">
        <f>IF(Registrering!$C29="Ja",Q33*$J34,Q33)</f>
        <v>1.7005241944629768</v>
      </c>
      <c r="AA33" s="6"/>
      <c r="AB33" s="6"/>
      <c r="AC33" s="6"/>
      <c r="AD33" s="6"/>
      <c r="AE33" s="6"/>
      <c r="AF33" s="6"/>
    </row>
    <row r="34" spans="1:32" x14ac:dyDescent="0.2">
      <c r="A34" s="16">
        <v>30</v>
      </c>
      <c r="B34" s="305">
        <v>394100</v>
      </c>
      <c r="C34">
        <v>30</v>
      </c>
      <c r="D34" s="304">
        <f t="shared" si="2"/>
        <v>201.9</v>
      </c>
      <c r="G34" s="13"/>
      <c r="H34" s="1"/>
      <c r="I34" s="19">
        <f>(Registrering!D29+1)</f>
        <v>1.0489999999999999</v>
      </c>
      <c r="J34" s="19">
        <f>(Registrering!E29+1)*(1+(Registrering!$E$29/2))</f>
        <v>1.0531124999999999</v>
      </c>
      <c r="K34" s="1">
        <f>J34*J34</f>
        <v>1.1090459376562498</v>
      </c>
      <c r="L34" s="1">
        <f>K34*J34</f>
        <v>1.1679501400200172</v>
      </c>
      <c r="M34" s="1"/>
      <c r="N34" s="1"/>
      <c r="O34" s="1"/>
      <c r="P34" s="1"/>
      <c r="Q34" s="1"/>
      <c r="R34" s="1"/>
      <c r="AA34" s="6"/>
      <c r="AB34" s="6"/>
      <c r="AC34" s="6"/>
      <c r="AD34" s="6"/>
      <c r="AE34" s="6"/>
      <c r="AF34" s="6"/>
    </row>
    <row r="35" spans="1:32" x14ac:dyDescent="0.2">
      <c r="A35" s="16">
        <v>31</v>
      </c>
      <c r="B35" s="305">
        <v>397700</v>
      </c>
      <c r="C35">
        <v>31</v>
      </c>
      <c r="D35" s="304">
        <f t="shared" si="2"/>
        <v>203.70000000000002</v>
      </c>
      <c r="G35" s="6"/>
      <c r="H35" s="6"/>
      <c r="I35" s="18">
        <v>1</v>
      </c>
      <c r="J35" s="6"/>
      <c r="K35" s="6"/>
      <c r="L35" s="6"/>
      <c r="M35" s="6"/>
      <c r="N35" s="6"/>
      <c r="O35" s="6"/>
      <c r="P35" s="6"/>
      <c r="Q35" s="6"/>
      <c r="R35" s="6"/>
      <c r="AA35" s="6"/>
      <c r="AB35" s="6"/>
      <c r="AC35" s="6"/>
      <c r="AD35" s="6"/>
      <c r="AE35" s="6"/>
      <c r="AF35" s="6"/>
    </row>
    <row r="36" spans="1:32" x14ac:dyDescent="0.2">
      <c r="A36" s="16">
        <v>32</v>
      </c>
      <c r="B36" s="305">
        <v>401900</v>
      </c>
      <c r="C36">
        <v>32</v>
      </c>
      <c r="D36" s="304">
        <f t="shared" si="2"/>
        <v>205.9</v>
      </c>
      <c r="G36" s="18"/>
      <c r="H36" s="108"/>
      <c r="J36" s="18"/>
      <c r="K36" s="18"/>
      <c r="L36" s="18"/>
      <c r="M36" s="18"/>
      <c r="N36" s="18"/>
      <c r="O36" s="18"/>
      <c r="P36" s="18"/>
      <c r="Q36" s="18"/>
      <c r="R36" s="18"/>
    </row>
    <row r="37" spans="1:32" x14ac:dyDescent="0.2">
      <c r="A37" s="16">
        <v>33</v>
      </c>
      <c r="B37" s="305">
        <v>405800</v>
      </c>
      <c r="C37">
        <v>33</v>
      </c>
      <c r="D37" s="304">
        <f t="shared" si="2"/>
        <v>207.9</v>
      </c>
      <c r="G37" s="13"/>
      <c r="H37" s="1"/>
      <c r="I37" s="1"/>
      <c r="J37" s="1"/>
      <c r="K37" s="1">
        <f>I33*J34</f>
        <v>1.1240475252187498</v>
      </c>
      <c r="L37" s="1">
        <f>J33*J34</f>
        <v>1.1837484994019305</v>
      </c>
      <c r="M37" s="1"/>
      <c r="N37" s="1"/>
      <c r="O37" s="1"/>
      <c r="P37" s="1"/>
      <c r="Q37" s="1"/>
      <c r="R37" s="1"/>
    </row>
    <row r="38" spans="1:32" x14ac:dyDescent="0.2">
      <c r="A38" s="16">
        <v>34</v>
      </c>
      <c r="B38" s="305">
        <v>410000</v>
      </c>
      <c r="C38">
        <v>34</v>
      </c>
      <c r="D38" s="304">
        <f t="shared" si="2"/>
        <v>210.10000000000002</v>
      </c>
      <c r="K38" s="14"/>
      <c r="L38" s="14"/>
      <c r="M38" s="14"/>
      <c r="N38" s="14">
        <f>1.035</f>
        <v>1.0349999999999999</v>
      </c>
      <c r="O38" s="14"/>
      <c r="P38" s="14"/>
      <c r="Q38" s="14"/>
      <c r="R38" s="14"/>
    </row>
    <row r="39" spans="1:32" x14ac:dyDescent="0.2">
      <c r="A39" s="16">
        <v>35</v>
      </c>
      <c r="B39" s="305">
        <v>414200</v>
      </c>
      <c r="C39">
        <v>35</v>
      </c>
      <c r="D39" s="304">
        <f t="shared" si="2"/>
        <v>212.20000000000002</v>
      </c>
      <c r="K39" s="202"/>
      <c r="L39" s="1"/>
      <c r="M39" s="1"/>
      <c r="N39" s="1">
        <f>N38+(1*1.035)</f>
        <v>2.0699999999999998</v>
      </c>
      <c r="O39" s="1"/>
      <c r="P39" s="1"/>
      <c r="Q39" s="1"/>
      <c r="R39" s="1"/>
    </row>
    <row r="40" spans="1:32" x14ac:dyDescent="0.2">
      <c r="A40" s="16">
        <v>36</v>
      </c>
      <c r="B40" s="305">
        <v>418500</v>
      </c>
      <c r="C40">
        <v>36</v>
      </c>
      <c r="D40" s="304">
        <f t="shared" si="2"/>
        <v>214.4</v>
      </c>
      <c r="G40" s="13"/>
      <c r="H40" s="13"/>
      <c r="I40" s="13"/>
      <c r="J40" s="13"/>
      <c r="K40" s="13"/>
      <c r="L40" s="13"/>
      <c r="M40" s="13"/>
      <c r="N40" s="13"/>
      <c r="O40" s="13"/>
      <c r="P40" s="13"/>
      <c r="Q40" s="13"/>
      <c r="R40" s="13"/>
    </row>
    <row r="41" spans="1:32" x14ac:dyDescent="0.2">
      <c r="A41" s="16">
        <v>37</v>
      </c>
      <c r="B41" s="305">
        <v>423300</v>
      </c>
      <c r="C41">
        <v>37</v>
      </c>
      <c r="D41" s="304">
        <f t="shared" si="2"/>
        <v>216.9</v>
      </c>
      <c r="G41" s="1"/>
      <c r="H41" s="1"/>
      <c r="I41" s="1"/>
      <c r="J41" s="1"/>
      <c r="K41" s="1"/>
      <c r="L41" s="1"/>
      <c r="M41" s="1"/>
      <c r="N41" s="1"/>
      <c r="O41" s="1"/>
      <c r="P41" s="1"/>
      <c r="Q41" s="1"/>
      <c r="R41" s="1"/>
    </row>
    <row r="42" spans="1:32" x14ac:dyDescent="0.2">
      <c r="A42" s="16">
        <v>38</v>
      </c>
      <c r="B42" s="305">
        <v>428100</v>
      </c>
      <c r="C42">
        <v>38</v>
      </c>
      <c r="D42" s="304">
        <f t="shared" si="2"/>
        <v>219.3</v>
      </c>
      <c r="G42" t="s">
        <v>56</v>
      </c>
      <c r="H42" t="s">
        <v>56</v>
      </c>
    </row>
    <row r="43" spans="1:32" x14ac:dyDescent="0.2">
      <c r="A43" s="16">
        <v>39</v>
      </c>
      <c r="B43" s="305">
        <v>432800</v>
      </c>
      <c r="C43">
        <v>39</v>
      </c>
      <c r="D43" s="304">
        <f t="shared" si="2"/>
        <v>221.70000000000002</v>
      </c>
      <c r="G43" t="s">
        <v>444</v>
      </c>
      <c r="H43" s="5" t="s">
        <v>55</v>
      </c>
    </row>
    <row r="44" spans="1:32" x14ac:dyDescent="0.2">
      <c r="A44" s="16">
        <v>40</v>
      </c>
      <c r="B44" s="305">
        <v>437900</v>
      </c>
      <c r="C44">
        <v>40</v>
      </c>
      <c r="D44" s="304">
        <f t="shared" si="2"/>
        <v>224.4</v>
      </c>
      <c r="G44" t="s">
        <v>445</v>
      </c>
    </row>
    <row r="45" spans="1:32" x14ac:dyDescent="0.2">
      <c r="A45" s="16">
        <v>41</v>
      </c>
      <c r="B45" s="305">
        <v>443000</v>
      </c>
      <c r="C45">
        <v>41</v>
      </c>
      <c r="D45" s="304">
        <f t="shared" si="2"/>
        <v>227</v>
      </c>
      <c r="G45" t="s">
        <v>446</v>
      </c>
    </row>
    <row r="46" spans="1:32" x14ac:dyDescent="0.2">
      <c r="A46" s="16">
        <v>42</v>
      </c>
      <c r="B46" s="305">
        <v>448900</v>
      </c>
      <c r="C46">
        <v>42</v>
      </c>
      <c r="D46" s="304">
        <f t="shared" si="2"/>
        <v>230</v>
      </c>
      <c r="G46" t="s">
        <v>447</v>
      </c>
    </row>
    <row r="47" spans="1:32" x14ac:dyDescent="0.2">
      <c r="A47" s="16">
        <v>43</v>
      </c>
      <c r="B47" s="305">
        <v>454500</v>
      </c>
      <c r="C47">
        <v>43</v>
      </c>
      <c r="D47" s="304">
        <f t="shared" si="2"/>
        <v>232.9</v>
      </c>
      <c r="G47" t="s">
        <v>55</v>
      </c>
    </row>
    <row r="48" spans="1:32" x14ac:dyDescent="0.2">
      <c r="A48" s="16">
        <v>44</v>
      </c>
      <c r="B48" s="305">
        <v>460600</v>
      </c>
      <c r="C48">
        <v>44</v>
      </c>
      <c r="D48" s="304">
        <f t="shared" si="2"/>
        <v>236</v>
      </c>
    </row>
    <row r="49" spans="1:4" x14ac:dyDescent="0.2">
      <c r="A49" s="16">
        <v>45</v>
      </c>
      <c r="B49" s="305">
        <v>466600</v>
      </c>
      <c r="C49">
        <v>45</v>
      </c>
      <c r="D49" s="304">
        <f t="shared" si="2"/>
        <v>239.10000000000002</v>
      </c>
    </row>
    <row r="50" spans="1:4" x14ac:dyDescent="0.2">
      <c r="A50" s="16">
        <v>46</v>
      </c>
      <c r="B50" s="305">
        <v>472900</v>
      </c>
      <c r="C50">
        <v>46</v>
      </c>
      <c r="D50" s="304">
        <f t="shared" si="2"/>
        <v>242.3</v>
      </c>
    </row>
    <row r="51" spans="1:4" x14ac:dyDescent="0.2">
      <c r="A51" s="16">
        <v>47</v>
      </c>
      <c r="B51" s="305">
        <v>480900</v>
      </c>
      <c r="C51">
        <v>47</v>
      </c>
      <c r="D51" s="304">
        <f t="shared" si="2"/>
        <v>246.4</v>
      </c>
    </row>
    <row r="52" spans="1:4" x14ac:dyDescent="0.2">
      <c r="A52" s="16">
        <v>48</v>
      </c>
      <c r="B52" s="305">
        <v>487800</v>
      </c>
      <c r="C52">
        <v>48</v>
      </c>
      <c r="D52" s="304">
        <f t="shared" si="2"/>
        <v>249.9</v>
      </c>
    </row>
    <row r="53" spans="1:4" x14ac:dyDescent="0.2">
      <c r="A53" s="16">
        <v>49</v>
      </c>
      <c r="B53" s="305">
        <v>495200</v>
      </c>
      <c r="C53">
        <v>49</v>
      </c>
      <c r="D53" s="304">
        <f t="shared" si="2"/>
        <v>253.70000000000002</v>
      </c>
    </row>
    <row r="54" spans="1:4" x14ac:dyDescent="0.2">
      <c r="A54" s="16">
        <v>50</v>
      </c>
      <c r="B54" s="305">
        <v>502300</v>
      </c>
      <c r="C54">
        <v>50</v>
      </c>
      <c r="D54" s="304">
        <f t="shared" si="2"/>
        <v>257.40000000000003</v>
      </c>
    </row>
    <row r="55" spans="1:4" x14ac:dyDescent="0.2">
      <c r="A55" s="16">
        <v>51</v>
      </c>
      <c r="B55" s="305">
        <v>509300</v>
      </c>
      <c r="C55">
        <v>51</v>
      </c>
      <c r="D55" s="304">
        <f t="shared" si="2"/>
        <v>261</v>
      </c>
    </row>
    <row r="56" spans="1:4" x14ac:dyDescent="0.2">
      <c r="A56" s="16">
        <v>52</v>
      </c>
      <c r="B56" s="305">
        <v>516800</v>
      </c>
      <c r="C56">
        <v>52</v>
      </c>
      <c r="D56" s="304">
        <f t="shared" si="2"/>
        <v>264.8</v>
      </c>
    </row>
    <row r="57" spans="1:4" x14ac:dyDescent="0.2">
      <c r="A57" s="16">
        <v>53</v>
      </c>
      <c r="B57" s="305">
        <v>524700</v>
      </c>
      <c r="C57">
        <v>53</v>
      </c>
      <c r="D57" s="304">
        <f t="shared" si="2"/>
        <v>268.90000000000003</v>
      </c>
    </row>
    <row r="58" spans="1:4" x14ac:dyDescent="0.2">
      <c r="A58" s="16">
        <v>54</v>
      </c>
      <c r="B58" s="305">
        <v>532200</v>
      </c>
      <c r="C58">
        <v>54</v>
      </c>
      <c r="D58" s="304">
        <f t="shared" si="2"/>
        <v>272.7</v>
      </c>
    </row>
    <row r="59" spans="1:4" x14ac:dyDescent="0.2">
      <c r="A59" s="16">
        <v>55</v>
      </c>
      <c r="B59" s="305">
        <v>540500</v>
      </c>
      <c r="C59">
        <v>55</v>
      </c>
      <c r="D59" s="304">
        <f t="shared" si="2"/>
        <v>277</v>
      </c>
    </row>
    <row r="60" spans="1:4" x14ac:dyDescent="0.2">
      <c r="A60" s="16">
        <v>56</v>
      </c>
      <c r="B60" s="305">
        <v>548600</v>
      </c>
      <c r="C60">
        <v>56</v>
      </c>
      <c r="D60" s="304">
        <f t="shared" si="2"/>
        <v>281.10000000000002</v>
      </c>
    </row>
    <row r="61" spans="1:4" x14ac:dyDescent="0.2">
      <c r="A61" s="16">
        <v>57</v>
      </c>
      <c r="B61" s="305">
        <v>557100</v>
      </c>
      <c r="C61">
        <v>57</v>
      </c>
      <c r="D61" s="304">
        <f t="shared" si="2"/>
        <v>285.5</v>
      </c>
    </row>
    <row r="62" spans="1:4" x14ac:dyDescent="0.2">
      <c r="A62" s="16">
        <v>58</v>
      </c>
      <c r="B62" s="305">
        <v>565900</v>
      </c>
      <c r="C62">
        <v>58</v>
      </c>
      <c r="D62" s="304">
        <f t="shared" si="2"/>
        <v>290</v>
      </c>
    </row>
    <row r="63" spans="1:4" x14ac:dyDescent="0.2">
      <c r="A63" s="16">
        <v>59</v>
      </c>
      <c r="B63" s="305">
        <v>575400</v>
      </c>
      <c r="C63">
        <v>59</v>
      </c>
      <c r="D63" s="304">
        <f t="shared" si="2"/>
        <v>294.90000000000003</v>
      </c>
    </row>
    <row r="64" spans="1:4" x14ac:dyDescent="0.2">
      <c r="A64" s="16">
        <v>60</v>
      </c>
      <c r="B64" s="305">
        <v>584500</v>
      </c>
      <c r="C64">
        <v>60</v>
      </c>
      <c r="D64" s="304">
        <f t="shared" si="2"/>
        <v>299.5</v>
      </c>
    </row>
    <row r="65" spans="1:4" x14ac:dyDescent="0.2">
      <c r="A65" s="16">
        <v>61</v>
      </c>
      <c r="B65" s="305">
        <v>594500</v>
      </c>
      <c r="C65">
        <v>61</v>
      </c>
      <c r="D65" s="304">
        <f t="shared" si="2"/>
        <v>304.7</v>
      </c>
    </row>
    <row r="66" spans="1:4" x14ac:dyDescent="0.2">
      <c r="A66" s="16">
        <v>62</v>
      </c>
      <c r="B66" s="305">
        <v>604900</v>
      </c>
      <c r="C66">
        <v>62</v>
      </c>
      <c r="D66" s="304">
        <f t="shared" si="2"/>
        <v>310</v>
      </c>
    </row>
    <row r="67" spans="1:4" x14ac:dyDescent="0.2">
      <c r="A67" s="16">
        <v>63</v>
      </c>
      <c r="B67" s="305">
        <v>615700</v>
      </c>
      <c r="C67">
        <v>63</v>
      </c>
      <c r="D67" s="304">
        <f t="shared" si="2"/>
        <v>315.5</v>
      </c>
    </row>
    <row r="68" spans="1:4" x14ac:dyDescent="0.2">
      <c r="A68" s="16">
        <v>64</v>
      </c>
      <c r="B68" s="305">
        <v>624500</v>
      </c>
      <c r="C68">
        <v>64</v>
      </c>
      <c r="D68" s="304">
        <f t="shared" si="2"/>
        <v>320.10000000000002</v>
      </c>
    </row>
    <row r="69" spans="1:4" x14ac:dyDescent="0.2">
      <c r="A69" s="16">
        <v>65</v>
      </c>
      <c r="B69" s="305">
        <v>635400</v>
      </c>
      <c r="C69">
        <v>65</v>
      </c>
      <c r="D69" s="304">
        <f t="shared" si="2"/>
        <v>325.60000000000002</v>
      </c>
    </row>
    <row r="70" spans="1:4" x14ac:dyDescent="0.2">
      <c r="A70" s="16">
        <v>66</v>
      </c>
      <c r="B70" s="305">
        <v>646000</v>
      </c>
      <c r="C70">
        <v>66</v>
      </c>
      <c r="D70" s="304">
        <f t="shared" si="2"/>
        <v>331.1</v>
      </c>
    </row>
    <row r="71" spans="1:4" x14ac:dyDescent="0.2">
      <c r="A71" s="16">
        <v>67</v>
      </c>
      <c r="B71" s="305">
        <v>657300</v>
      </c>
      <c r="C71">
        <v>67</v>
      </c>
      <c r="D71" s="304">
        <f t="shared" si="2"/>
        <v>336.90000000000003</v>
      </c>
    </row>
    <row r="72" spans="1:4" x14ac:dyDescent="0.2">
      <c r="A72" s="16">
        <v>68</v>
      </c>
      <c r="B72" s="305">
        <v>667700</v>
      </c>
      <c r="C72">
        <v>68</v>
      </c>
      <c r="D72" s="304">
        <f t="shared" si="2"/>
        <v>342.20000000000005</v>
      </c>
    </row>
    <row r="73" spans="1:4" x14ac:dyDescent="0.2">
      <c r="A73" s="16">
        <v>69</v>
      </c>
      <c r="B73" s="305">
        <v>679700</v>
      </c>
      <c r="C73">
        <v>69</v>
      </c>
      <c r="D73" s="304">
        <f t="shared" si="2"/>
        <v>348.40000000000003</v>
      </c>
    </row>
    <row r="74" spans="1:4" x14ac:dyDescent="0.2">
      <c r="A74" s="16">
        <v>70</v>
      </c>
      <c r="B74" s="305">
        <v>692400</v>
      </c>
      <c r="C74">
        <v>70</v>
      </c>
      <c r="D74" s="304">
        <f t="shared" si="2"/>
        <v>354.90000000000003</v>
      </c>
    </row>
    <row r="75" spans="1:4" x14ac:dyDescent="0.2">
      <c r="A75" s="16">
        <v>71</v>
      </c>
      <c r="B75" s="305">
        <v>708000</v>
      </c>
      <c r="C75">
        <v>71</v>
      </c>
      <c r="D75" s="304">
        <f t="shared" si="2"/>
        <v>362.90000000000003</v>
      </c>
    </row>
    <row r="76" spans="1:4" x14ac:dyDescent="0.2">
      <c r="A76" s="16">
        <v>72</v>
      </c>
      <c r="B76" s="305">
        <v>720100</v>
      </c>
      <c r="C76">
        <v>72</v>
      </c>
      <c r="D76" s="304">
        <f t="shared" si="2"/>
        <v>369.1</v>
      </c>
    </row>
    <row r="77" spans="1:4" x14ac:dyDescent="0.2">
      <c r="A77" s="16">
        <v>73</v>
      </c>
      <c r="B77" s="305">
        <v>732300</v>
      </c>
      <c r="C77">
        <v>73</v>
      </c>
      <c r="D77" s="304">
        <f t="shared" si="2"/>
        <v>375.3</v>
      </c>
    </row>
    <row r="78" spans="1:4" x14ac:dyDescent="0.2">
      <c r="A78" s="16">
        <v>74</v>
      </c>
      <c r="B78" s="305">
        <v>745000</v>
      </c>
      <c r="C78">
        <v>74</v>
      </c>
      <c r="D78" s="304">
        <f t="shared" si="2"/>
        <v>381.8</v>
      </c>
    </row>
    <row r="79" spans="1:4" x14ac:dyDescent="0.2">
      <c r="A79" s="16">
        <v>75</v>
      </c>
      <c r="B79" s="305">
        <v>759100</v>
      </c>
      <c r="C79">
        <v>75</v>
      </c>
      <c r="D79" s="304">
        <f t="shared" si="2"/>
        <v>389.1</v>
      </c>
    </row>
    <row r="80" spans="1:4" x14ac:dyDescent="0.2">
      <c r="A80" s="16">
        <v>76</v>
      </c>
      <c r="B80" s="305">
        <v>777900</v>
      </c>
      <c r="C80">
        <v>76</v>
      </c>
      <c r="D80" s="304">
        <f t="shared" si="2"/>
        <v>398.70000000000005</v>
      </c>
    </row>
    <row r="81" spans="1:4" x14ac:dyDescent="0.2">
      <c r="A81" s="16">
        <v>77</v>
      </c>
      <c r="B81" s="305">
        <v>796600</v>
      </c>
      <c r="C81">
        <v>77</v>
      </c>
      <c r="D81" s="304">
        <f t="shared" si="2"/>
        <v>408.3</v>
      </c>
    </row>
    <row r="82" spans="1:4" x14ac:dyDescent="0.2">
      <c r="A82" s="16">
        <v>78</v>
      </c>
      <c r="B82" s="305">
        <v>821100</v>
      </c>
      <c r="C82">
        <v>78</v>
      </c>
      <c r="D82" s="304">
        <f t="shared" si="2"/>
        <v>420.90000000000003</v>
      </c>
    </row>
    <row r="83" spans="1:4" x14ac:dyDescent="0.2">
      <c r="A83" s="16">
        <v>79</v>
      </c>
      <c r="B83" s="305">
        <v>845900</v>
      </c>
      <c r="C83">
        <v>79</v>
      </c>
      <c r="D83" s="304">
        <f t="shared" si="2"/>
        <v>433.6</v>
      </c>
    </row>
    <row r="84" spans="1:4" x14ac:dyDescent="0.2">
      <c r="A84" s="16">
        <v>80</v>
      </c>
      <c r="B84" s="305">
        <v>870900</v>
      </c>
      <c r="C84">
        <v>80</v>
      </c>
      <c r="D84" s="304">
        <f t="shared" si="2"/>
        <v>446.40000000000003</v>
      </c>
    </row>
    <row r="85" spans="1:4" x14ac:dyDescent="0.2">
      <c r="A85" s="16">
        <v>81</v>
      </c>
      <c r="B85" s="305">
        <v>895500</v>
      </c>
      <c r="C85">
        <v>81</v>
      </c>
      <c r="D85" s="304">
        <f t="shared" si="2"/>
        <v>459</v>
      </c>
    </row>
    <row r="86" spans="1:4" x14ac:dyDescent="0.2">
      <c r="A86" s="16">
        <v>82</v>
      </c>
      <c r="B86" s="305">
        <v>919200</v>
      </c>
      <c r="C86">
        <v>82</v>
      </c>
      <c r="D86" s="304">
        <f t="shared" si="2"/>
        <v>471.20000000000005</v>
      </c>
    </row>
    <row r="87" spans="1:4" x14ac:dyDescent="0.2">
      <c r="A87" s="16">
        <v>83</v>
      </c>
      <c r="B87" s="305">
        <v>942700</v>
      </c>
      <c r="C87">
        <v>83</v>
      </c>
      <c r="D87" s="304">
        <f t="shared" si="2"/>
        <v>483.20000000000005</v>
      </c>
    </row>
    <row r="88" spans="1:4" x14ac:dyDescent="0.2">
      <c r="A88" s="16">
        <v>84</v>
      </c>
      <c r="B88" s="305">
        <v>966300</v>
      </c>
      <c r="C88">
        <v>84</v>
      </c>
      <c r="D88" s="304">
        <f t="shared" ref="D88:D105" si="4">MROUND((B88-400)/1950,0.1)</f>
        <v>495.3</v>
      </c>
    </row>
    <row r="89" spans="1:4" x14ac:dyDescent="0.2">
      <c r="A89" s="16">
        <v>85</v>
      </c>
      <c r="B89" s="305">
        <v>996000</v>
      </c>
      <c r="C89">
        <v>85</v>
      </c>
      <c r="D89" s="304">
        <f t="shared" si="4"/>
        <v>510.6</v>
      </c>
    </row>
    <row r="90" spans="1:4" x14ac:dyDescent="0.2">
      <c r="A90" s="16">
        <v>86</v>
      </c>
      <c r="B90" s="305">
        <v>1025200</v>
      </c>
      <c r="C90">
        <v>86</v>
      </c>
      <c r="D90" s="304">
        <f t="shared" si="4"/>
        <v>525.5</v>
      </c>
    </row>
    <row r="91" spans="1:4" x14ac:dyDescent="0.2">
      <c r="A91" s="16">
        <v>87</v>
      </c>
      <c r="B91" s="305">
        <v>1055200</v>
      </c>
      <c r="C91">
        <v>87</v>
      </c>
      <c r="D91" s="304">
        <f t="shared" si="4"/>
        <v>540.9</v>
      </c>
    </row>
    <row r="92" spans="1:4" x14ac:dyDescent="0.2">
      <c r="A92" s="16">
        <v>88</v>
      </c>
      <c r="B92" s="305">
        <v>1078600</v>
      </c>
      <c r="C92">
        <v>88</v>
      </c>
      <c r="D92" s="304">
        <f t="shared" si="4"/>
        <v>552.9</v>
      </c>
    </row>
    <row r="93" spans="1:4" x14ac:dyDescent="0.2">
      <c r="A93" s="16">
        <v>89</v>
      </c>
      <c r="B93" s="305">
        <v>1102200</v>
      </c>
      <c r="C93">
        <v>89</v>
      </c>
      <c r="D93" s="304">
        <f t="shared" si="4"/>
        <v>565</v>
      </c>
    </row>
    <row r="94" spans="1:4" x14ac:dyDescent="0.2">
      <c r="A94" s="16">
        <v>90</v>
      </c>
      <c r="B94" s="305">
        <v>1125800</v>
      </c>
      <c r="C94">
        <v>90</v>
      </c>
      <c r="D94" s="304">
        <f t="shared" si="4"/>
        <v>577.1</v>
      </c>
    </row>
    <row r="95" spans="1:4" x14ac:dyDescent="0.2">
      <c r="A95" s="16">
        <v>91</v>
      </c>
      <c r="B95" s="305">
        <v>1149700</v>
      </c>
      <c r="C95">
        <v>91</v>
      </c>
      <c r="D95" s="304">
        <f t="shared" si="4"/>
        <v>589.4</v>
      </c>
    </row>
    <row r="96" spans="1:4" x14ac:dyDescent="0.2">
      <c r="A96" s="16">
        <v>92</v>
      </c>
      <c r="B96" s="305">
        <v>1173100</v>
      </c>
      <c r="C96">
        <v>92</v>
      </c>
      <c r="D96" s="304">
        <f t="shared" si="4"/>
        <v>601.4</v>
      </c>
    </row>
    <row r="97" spans="1:4" x14ac:dyDescent="0.2">
      <c r="A97" s="16">
        <v>93</v>
      </c>
      <c r="B97" s="305">
        <v>1196800</v>
      </c>
      <c r="C97">
        <v>93</v>
      </c>
      <c r="D97" s="304">
        <f t="shared" si="4"/>
        <v>613.5</v>
      </c>
    </row>
    <row r="98" spans="1:4" x14ac:dyDescent="0.2">
      <c r="A98" s="16">
        <v>94</v>
      </c>
      <c r="B98" s="305">
        <v>1220400</v>
      </c>
      <c r="C98">
        <v>94</v>
      </c>
      <c r="D98" s="304">
        <f t="shared" si="4"/>
        <v>625.6</v>
      </c>
    </row>
    <row r="99" spans="1:4" x14ac:dyDescent="0.2">
      <c r="A99" s="16">
        <v>95</v>
      </c>
      <c r="B99" s="305">
        <v>1244200</v>
      </c>
      <c r="C99">
        <v>95</v>
      </c>
      <c r="D99" s="304">
        <f t="shared" si="4"/>
        <v>637.80000000000007</v>
      </c>
    </row>
    <row r="100" spans="1:4" x14ac:dyDescent="0.2">
      <c r="A100" s="16">
        <v>96</v>
      </c>
      <c r="B100" s="305">
        <v>1267300</v>
      </c>
      <c r="C100">
        <v>96</v>
      </c>
      <c r="D100" s="304">
        <f t="shared" si="4"/>
        <v>649.70000000000005</v>
      </c>
    </row>
    <row r="101" spans="1:4" x14ac:dyDescent="0.2">
      <c r="A101" s="16">
        <v>97</v>
      </c>
      <c r="B101" s="305">
        <v>1290500</v>
      </c>
      <c r="C101">
        <v>97</v>
      </c>
      <c r="D101" s="304">
        <f t="shared" si="4"/>
        <v>661.6</v>
      </c>
    </row>
    <row r="102" spans="1:4" x14ac:dyDescent="0.2">
      <c r="A102" s="16">
        <v>98</v>
      </c>
      <c r="B102" s="305">
        <v>1313600</v>
      </c>
      <c r="C102">
        <v>98</v>
      </c>
      <c r="D102" s="304">
        <f t="shared" si="4"/>
        <v>673.40000000000009</v>
      </c>
    </row>
    <row r="103" spans="1:4" x14ac:dyDescent="0.2">
      <c r="A103" s="16">
        <v>99</v>
      </c>
      <c r="B103" s="305">
        <v>1335800</v>
      </c>
      <c r="C103">
        <v>99</v>
      </c>
      <c r="D103" s="304">
        <f t="shared" si="4"/>
        <v>684.80000000000007</v>
      </c>
    </row>
    <row r="104" spans="1:4" x14ac:dyDescent="0.2">
      <c r="A104" s="16">
        <v>100</v>
      </c>
      <c r="B104" s="305">
        <v>1357900</v>
      </c>
      <c r="C104">
        <v>100</v>
      </c>
      <c r="D104" s="304">
        <f t="shared" si="4"/>
        <v>696.2</v>
      </c>
    </row>
    <row r="105" spans="1:4" x14ac:dyDescent="0.2">
      <c r="A105" s="16">
        <v>101</v>
      </c>
      <c r="B105" s="305">
        <v>1380100</v>
      </c>
      <c r="C105">
        <v>101</v>
      </c>
      <c r="D105" s="304">
        <f t="shared" si="4"/>
        <v>707.5</v>
      </c>
    </row>
    <row r="106" spans="1:4" x14ac:dyDescent="0.2">
      <c r="A106" s="16">
        <v>102</v>
      </c>
      <c r="B106" s="305">
        <v>0</v>
      </c>
    </row>
  </sheetData>
  <sheetProtection algorithmName="SHA-512" hashValue="IOF3wKZPZ3/GAGVXxMFKjsVFI51Gw+b9S4Bk/GmT9icI6bLAXZuiPqJt+ev84Plk231BLfiW2ujIMjrUphAQwg==" saltValue="zD1aBrwsTAby9OgAe6iqjQ==" spinCount="100000" sheet="1" formatColumns="0"/>
  <phoneticPr fontId="12" type="noConversion"/>
  <conditionalFormatting sqref="H33">
    <cfRule type="expression" dxfId="5" priority="17" stopIfTrue="1">
      <formula>#REF!="NEI"</formula>
    </cfRule>
  </conditionalFormatting>
  <conditionalFormatting sqref="P39 S26:U26 G41:R41">
    <cfRule type="expression" dxfId="4" priority="11" stopIfTrue="1">
      <formula>#REF!="NEI"</formula>
    </cfRule>
  </conditionalFormatting>
  <conditionalFormatting sqref="G40:R40">
    <cfRule type="expression" dxfId="3" priority="9" stopIfTrue="1">
      <formula>#REF!="NEI"</formula>
    </cfRule>
  </conditionalFormatting>
  <conditionalFormatting sqref="S18:U18 S21:U21 S25:U25 G36:H36 J36:R36 I35 I33:R33">
    <cfRule type="expression" dxfId="2" priority="7" stopIfTrue="1">
      <formula>#REF!="NEI"</formula>
    </cfRule>
  </conditionalFormatting>
  <conditionalFormatting sqref="G33:G34">
    <cfRule type="expression" dxfId="1" priority="2" stopIfTrue="1">
      <formula>#REF!="NEI"</formula>
    </cfRule>
  </conditionalFormatting>
  <conditionalFormatting sqref="G37">
    <cfRule type="expression" dxfId="0" priority="1" stopIfTrue="1">
      <formula>#REF!="NEI"</formula>
    </cfRule>
  </conditionalFormatting>
  <printOptions headings="1"/>
  <pageMargins left="0.55000000000000004" right="0.25" top="0.98425196850393704" bottom="0.98425196850393704" header="0.51181102362204722" footer="0.51181102362204722"/>
  <pageSetup paperSize="9" scale="80" orientation="portrait" cellComments="atEnd"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70364-5E0A-4891-9193-BAA792A6A867}">
  <sheetPr>
    <tabColor rgb="FF00B050"/>
  </sheetPr>
  <dimension ref="A1"/>
  <sheetViews>
    <sheetView workbookViewId="0"/>
  </sheetViews>
  <sheetFormatPr defaultColWidth="9.140625" defaultRowHeight="12.75" x14ac:dyDescent="0.2"/>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0"/>
  <dimension ref="A1"/>
  <sheetViews>
    <sheetView workbookViewId="0">
      <selection activeCell="S42" sqref="S42"/>
    </sheetView>
  </sheetViews>
  <sheetFormatPr defaultColWidth="9.140625" defaultRowHeight="12.75" x14ac:dyDescent="0.2"/>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1"/>
  <dimension ref="R48"/>
  <sheetViews>
    <sheetView workbookViewId="0">
      <selection activeCell="R48" sqref="R48"/>
    </sheetView>
  </sheetViews>
  <sheetFormatPr defaultColWidth="9.140625" defaultRowHeight="12.75" x14ac:dyDescent="0.2"/>
  <sheetData>
    <row r="48" spans="18:18" x14ac:dyDescent="0.2">
      <c r="R48" t="s">
        <v>448</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2"/>
  <dimension ref="A2:C47"/>
  <sheetViews>
    <sheetView topLeftCell="A16" workbookViewId="0">
      <selection activeCell="C24" sqref="C24"/>
    </sheetView>
  </sheetViews>
  <sheetFormatPr defaultColWidth="9.140625" defaultRowHeight="12.75" x14ac:dyDescent="0.2"/>
  <cols>
    <col min="1" max="1" width="12.5703125" style="240" customWidth="1"/>
    <col min="2" max="2" width="54.42578125" style="240" customWidth="1"/>
    <col min="3" max="3" width="11" style="240" bestFit="1" customWidth="1"/>
    <col min="4" max="16384" width="9.140625" style="240"/>
  </cols>
  <sheetData>
    <row r="2" spans="1:3" ht="15" x14ac:dyDescent="0.25">
      <c r="A2" s="239" t="s">
        <v>449</v>
      </c>
    </row>
    <row r="4" spans="1:3" x14ac:dyDescent="0.2">
      <c r="A4" s="241" t="s">
        <v>179</v>
      </c>
      <c r="B4" s="242" t="s">
        <v>450</v>
      </c>
      <c r="C4" s="241" t="s">
        <v>451</v>
      </c>
    </row>
    <row r="5" spans="1:3" ht="25.5" x14ac:dyDescent="0.2">
      <c r="A5" s="260">
        <v>42297</v>
      </c>
      <c r="B5" s="243" t="s">
        <v>452</v>
      </c>
      <c r="C5" s="261" t="s">
        <v>453</v>
      </c>
    </row>
    <row r="6" spans="1:3" x14ac:dyDescent="0.2">
      <c r="A6" s="260">
        <v>42048</v>
      </c>
      <c r="B6" s="243" t="s">
        <v>454</v>
      </c>
      <c r="C6" s="261" t="s">
        <v>455</v>
      </c>
    </row>
    <row r="7" spans="1:3" x14ac:dyDescent="0.2">
      <c r="A7" s="260">
        <v>42053</v>
      </c>
      <c r="B7" s="259" t="s">
        <v>456</v>
      </c>
      <c r="C7" s="261" t="s">
        <v>453</v>
      </c>
    </row>
    <row r="8" spans="1:3" ht="25.5" x14ac:dyDescent="0.2">
      <c r="A8" s="260">
        <v>42053</v>
      </c>
      <c r="B8" s="259" t="s">
        <v>457</v>
      </c>
      <c r="C8" s="261" t="s">
        <v>458</v>
      </c>
    </row>
    <row r="9" spans="1:3" ht="25.5" x14ac:dyDescent="0.2">
      <c r="A9" s="272">
        <v>42111</v>
      </c>
      <c r="B9" s="271" t="s">
        <v>459</v>
      </c>
      <c r="C9" s="273" t="s">
        <v>455</v>
      </c>
    </row>
    <row r="10" spans="1:3" ht="25.5" x14ac:dyDescent="0.2">
      <c r="A10" s="260">
        <v>42143</v>
      </c>
      <c r="B10" s="259" t="s">
        <v>460</v>
      </c>
      <c r="C10" s="261" t="s">
        <v>461</v>
      </c>
    </row>
    <row r="11" spans="1:3" ht="25.5" x14ac:dyDescent="0.2">
      <c r="A11" s="260">
        <v>42164</v>
      </c>
      <c r="B11" s="271" t="s">
        <v>462</v>
      </c>
      <c r="C11" s="261" t="s">
        <v>461</v>
      </c>
    </row>
    <row r="12" spans="1:3" ht="38.25" x14ac:dyDescent="0.2">
      <c r="A12" s="272">
        <v>42410</v>
      </c>
      <c r="B12" s="245" t="s">
        <v>463</v>
      </c>
      <c r="C12" s="273" t="s">
        <v>461</v>
      </c>
    </row>
    <row r="13" spans="1:3" ht="25.5" x14ac:dyDescent="0.2">
      <c r="A13" s="260">
        <v>42531</v>
      </c>
      <c r="B13" s="229" t="s">
        <v>464</v>
      </c>
      <c r="C13" s="261" t="s">
        <v>458</v>
      </c>
    </row>
    <row r="14" spans="1:3" ht="38.25" x14ac:dyDescent="0.2">
      <c r="A14" s="272">
        <v>42543</v>
      </c>
      <c r="B14" s="271" t="s">
        <v>465</v>
      </c>
      <c r="C14" s="273" t="s">
        <v>461</v>
      </c>
    </row>
    <row r="15" spans="1:3" ht="25.5" x14ac:dyDescent="0.2">
      <c r="A15" s="260">
        <v>42555</v>
      </c>
      <c r="B15" s="259" t="s">
        <v>466</v>
      </c>
      <c r="C15" s="261" t="s">
        <v>461</v>
      </c>
    </row>
    <row r="16" spans="1:3" ht="25.5" x14ac:dyDescent="0.2">
      <c r="A16" s="260">
        <v>42618</v>
      </c>
      <c r="B16" s="259" t="s">
        <v>467</v>
      </c>
      <c r="C16" s="261" t="s">
        <v>458</v>
      </c>
    </row>
    <row r="17" spans="1:3" ht="42.75" customHeight="1" x14ac:dyDescent="0.2">
      <c r="A17" s="260">
        <v>42654</v>
      </c>
      <c r="B17" s="259" t="s">
        <v>468</v>
      </c>
      <c r="C17" s="261" t="s">
        <v>461</v>
      </c>
    </row>
    <row r="18" spans="1:3" ht="51" x14ac:dyDescent="0.2">
      <c r="A18" s="260">
        <v>42668</v>
      </c>
      <c r="B18" s="259" t="s">
        <v>469</v>
      </c>
      <c r="C18" s="261" t="s">
        <v>458</v>
      </c>
    </row>
    <row r="19" spans="1:3" ht="38.25" x14ac:dyDescent="0.2">
      <c r="A19" s="260">
        <v>42713</v>
      </c>
      <c r="B19" s="259" t="s">
        <v>470</v>
      </c>
      <c r="C19" s="261" t="s">
        <v>458</v>
      </c>
    </row>
    <row r="20" spans="1:3" ht="25.5" x14ac:dyDescent="0.2">
      <c r="A20" s="272">
        <v>42866</v>
      </c>
      <c r="B20" s="271" t="s">
        <v>471</v>
      </c>
      <c r="C20" s="273" t="s">
        <v>458</v>
      </c>
    </row>
    <row r="21" spans="1:3" ht="25.5" x14ac:dyDescent="0.2">
      <c r="A21" s="260">
        <v>42935</v>
      </c>
      <c r="B21" s="259" t="s">
        <v>472</v>
      </c>
      <c r="C21" s="273" t="s">
        <v>458</v>
      </c>
    </row>
    <row r="22" spans="1:3" ht="25.5" x14ac:dyDescent="0.2">
      <c r="A22" s="260">
        <v>42976</v>
      </c>
      <c r="B22" s="259" t="s">
        <v>473</v>
      </c>
      <c r="C22" s="273" t="s">
        <v>458</v>
      </c>
    </row>
    <row r="23" spans="1:3" ht="39.75" customHeight="1" x14ac:dyDescent="0.2">
      <c r="A23" s="260">
        <v>43005</v>
      </c>
      <c r="B23" s="259" t="s">
        <v>474</v>
      </c>
      <c r="C23" s="261" t="s">
        <v>455</v>
      </c>
    </row>
    <row r="24" spans="1:3" ht="38.25" x14ac:dyDescent="0.2">
      <c r="A24" s="260">
        <v>44868</v>
      </c>
      <c r="B24" s="306" t="s">
        <v>475</v>
      </c>
      <c r="C24" s="261" t="s">
        <v>476</v>
      </c>
    </row>
    <row r="25" spans="1:3" x14ac:dyDescent="0.2">
      <c r="A25" s="260"/>
      <c r="B25" s="244"/>
      <c r="C25" s="261"/>
    </row>
    <row r="26" spans="1:3" x14ac:dyDescent="0.2">
      <c r="A26" s="260"/>
      <c r="B26" s="244"/>
      <c r="C26" s="261"/>
    </row>
    <row r="27" spans="1:3" x14ac:dyDescent="0.2">
      <c r="A27" s="260"/>
      <c r="B27" s="244"/>
      <c r="C27" s="261"/>
    </row>
    <row r="28" spans="1:3" x14ac:dyDescent="0.2">
      <c r="A28" s="260"/>
      <c r="B28" s="244"/>
      <c r="C28" s="261"/>
    </row>
    <row r="29" spans="1:3" x14ac:dyDescent="0.2">
      <c r="A29" s="260"/>
      <c r="B29" s="244"/>
      <c r="C29" s="261"/>
    </row>
    <row r="30" spans="1:3" x14ac:dyDescent="0.2">
      <c r="A30" s="260"/>
      <c r="B30" s="244"/>
      <c r="C30" s="261"/>
    </row>
    <row r="31" spans="1:3" x14ac:dyDescent="0.2">
      <c r="A31" s="260"/>
      <c r="B31" s="244"/>
      <c r="C31" s="261"/>
    </row>
    <row r="32" spans="1:3" x14ac:dyDescent="0.2">
      <c r="A32" s="260"/>
      <c r="B32" s="244"/>
      <c r="C32" s="261"/>
    </row>
    <row r="33" spans="1:3" x14ac:dyDescent="0.2">
      <c r="A33" s="260"/>
      <c r="B33" s="244"/>
      <c r="C33" s="261"/>
    </row>
    <row r="34" spans="1:3" x14ac:dyDescent="0.2">
      <c r="A34" s="260"/>
      <c r="B34" s="244"/>
      <c r="C34" s="261"/>
    </row>
    <row r="35" spans="1:3" x14ac:dyDescent="0.2">
      <c r="A35" s="260"/>
      <c r="B35" s="244"/>
      <c r="C35" s="261"/>
    </row>
    <row r="36" spans="1:3" x14ac:dyDescent="0.2">
      <c r="A36" s="260"/>
      <c r="B36" s="244"/>
      <c r="C36" s="261"/>
    </row>
    <row r="37" spans="1:3" x14ac:dyDescent="0.2">
      <c r="A37" s="260"/>
      <c r="B37" s="244"/>
      <c r="C37" s="261"/>
    </row>
    <row r="38" spans="1:3" x14ac:dyDescent="0.2">
      <c r="A38" s="260"/>
      <c r="B38" s="244"/>
      <c r="C38" s="261"/>
    </row>
    <row r="39" spans="1:3" x14ac:dyDescent="0.2">
      <c r="A39" s="260"/>
      <c r="B39" s="244"/>
      <c r="C39" s="261"/>
    </row>
    <row r="40" spans="1:3" x14ac:dyDescent="0.2">
      <c r="A40" s="260"/>
      <c r="B40" s="244"/>
      <c r="C40" s="261"/>
    </row>
    <row r="41" spans="1:3" x14ac:dyDescent="0.2">
      <c r="A41" s="260"/>
      <c r="B41" s="244"/>
      <c r="C41" s="261"/>
    </row>
    <row r="42" spans="1:3" x14ac:dyDescent="0.2">
      <c r="A42" s="260"/>
      <c r="B42" s="244"/>
      <c r="C42" s="261"/>
    </row>
    <row r="43" spans="1:3" x14ac:dyDescent="0.2">
      <c r="A43" s="260"/>
      <c r="B43" s="244"/>
      <c r="C43" s="261"/>
    </row>
    <row r="44" spans="1:3" x14ac:dyDescent="0.2">
      <c r="A44" s="260"/>
      <c r="B44" s="244"/>
      <c r="C44" s="261"/>
    </row>
    <row r="45" spans="1:3" x14ac:dyDescent="0.2">
      <c r="A45" s="260"/>
      <c r="B45" s="244"/>
      <c r="C45" s="261"/>
    </row>
    <row r="46" spans="1:3" x14ac:dyDescent="0.2">
      <c r="A46" s="260"/>
      <c r="B46" s="244"/>
      <c r="C46" s="261"/>
    </row>
    <row r="47" spans="1:3" x14ac:dyDescent="0.2">
      <c r="A47" s="260"/>
      <c r="B47" s="244"/>
      <c r="C47" s="261"/>
    </row>
  </sheetData>
  <sheetProtection algorithmName="SHA-512" hashValue="ZSiea9DOhuC4XQkwgCdFtG23UbSoNv0NEPZ1R4esovozxkei6Y4brWipFqGEqJG+qfeO/O9UME/T3WPfnOHB9Q==" saltValue="sTqbD7KgtmALY294X5/e/g==" spinCount="100000" sheet="1" objects="1" scenarios="1" formatColumns="0"/>
  <pageMargins left="0.7" right="0.7" top="0.75" bottom="0.75" header="0.3" footer="0.3"/>
  <pageSetup paperSize="9" orientation="portrait" r:id="rId1"/>
</worksheet>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10</vt:i4>
      </vt:variant>
    </vt:vector>
  </HeadingPairs>
  <TitlesOfParts>
    <vt:vector size="29" baseType="lpstr">
      <vt:lpstr>Registrering</vt:lpstr>
      <vt:lpstr>Finansiering</vt:lpstr>
      <vt:lpstr>Budsjett</vt:lpstr>
      <vt:lpstr>Detailed budget</vt:lpstr>
      <vt:lpstr>Leiested</vt:lpstr>
      <vt:lpstr>Intern oversikt</vt:lpstr>
      <vt:lpstr>NFR-budsjett</vt:lpstr>
      <vt:lpstr>Intern oversikt andel</vt:lpstr>
      <vt:lpstr>Budget for the proposal RIA &amp;IA</vt:lpstr>
      <vt:lpstr>Budget for the proposal</vt:lpstr>
      <vt:lpstr>Budget for the proposal ERC</vt:lpstr>
      <vt:lpstr>Budget for the contract</vt:lpstr>
      <vt:lpstr>D. Other cost categories (prop)</vt:lpstr>
      <vt:lpstr>Budsjett_ERC for the proporsal</vt:lpstr>
      <vt:lpstr>Tabeller</vt:lpstr>
      <vt:lpstr>Sheet3</vt:lpstr>
      <vt:lpstr>Sheet2</vt:lpstr>
      <vt:lpstr>Sheet1</vt:lpstr>
      <vt:lpstr>Endringslogg</vt:lpstr>
      <vt:lpstr>Europeisk_entralbank</vt:lpstr>
      <vt:lpstr>Europeisk_Sentralbank</vt:lpstr>
      <vt:lpstr>'Budget for the contract'!Print_Area</vt:lpstr>
      <vt:lpstr>Budsjett!Print_Area</vt:lpstr>
      <vt:lpstr>'Budsjett_ERC for the proporsal'!Print_Area</vt:lpstr>
      <vt:lpstr>'Intern oversikt'!Print_Area</vt:lpstr>
      <vt:lpstr>'Intern oversikt andel'!Print_Area</vt:lpstr>
      <vt:lpstr>Leiested!Print_Area</vt:lpstr>
      <vt:lpstr>Registrering!Print_Area</vt:lpstr>
      <vt:lpstr>valutakalkulator</vt:lpstr>
    </vt:vector>
  </TitlesOfParts>
  <Manager/>
  <Company>UiO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Jon Aksel Horgdal</cp:lastModifiedBy>
  <cp:revision/>
  <dcterms:created xsi:type="dcterms:W3CDTF">2005-03-08T12:09:19Z</dcterms:created>
  <dcterms:modified xsi:type="dcterms:W3CDTF">2024-11-08T08:33:32Z</dcterms:modified>
  <cp:category/>
  <cp:contentStatus/>
</cp:coreProperties>
</file>