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\jus-felles\fakadm\Studieseksjonen\PMR\Valgemner 2016\"/>
    </mc:Choice>
  </mc:AlternateContent>
  <bookViews>
    <workbookView xWindow="480" yWindow="1500" windowWidth="19320" windowHeight="6645"/>
  </bookViews>
  <sheets>
    <sheet name="jus valgemner" sheetId="2" r:id="rId1"/>
  </sheets>
  <definedNames>
    <definedName name="_xlnm._FilterDatabase" localSheetId="0" hidden="1">'jus valgemner'!$B$4:$AI$80</definedName>
  </definedNames>
  <calcPr calcId="162913"/>
</workbook>
</file>

<file path=xl/calcChain.xml><?xml version="1.0" encoding="utf-8"?>
<calcChain xmlns="http://schemas.openxmlformats.org/spreadsheetml/2006/main">
  <c r="J80" i="2" l="1"/>
  <c r="K80" i="2"/>
  <c r="L80" i="2"/>
  <c r="M80" i="2"/>
  <c r="N80" i="2"/>
  <c r="O80" i="2"/>
  <c r="P80" i="2"/>
  <c r="Q80" i="2"/>
  <c r="R80" i="2"/>
  <c r="S80" i="2"/>
  <c r="T80" i="2"/>
  <c r="I80" i="2"/>
  <c r="U76" i="2" l="1"/>
  <c r="U74" i="2"/>
  <c r="U73" i="2"/>
  <c r="U68" i="2"/>
  <c r="U67" i="2"/>
  <c r="U64" i="2"/>
  <c r="U61" i="2"/>
  <c r="U57" i="2"/>
  <c r="U55" i="2"/>
  <c r="U54" i="2"/>
  <c r="U53" i="2"/>
  <c r="U28" i="2"/>
  <c r="U51" i="2"/>
  <c r="U50" i="2"/>
  <c r="U48" i="2"/>
  <c r="U47" i="2"/>
  <c r="U52" i="2"/>
  <c r="U36" i="2"/>
  <c r="U40" i="2"/>
  <c r="U32" i="2"/>
  <c r="U29" i="2"/>
  <c r="U25" i="2"/>
  <c r="U22" i="2"/>
  <c r="U13" i="2"/>
  <c r="T66" i="2"/>
  <c r="U66" i="2" s="1"/>
  <c r="T58" i="2"/>
  <c r="T30" i="2"/>
  <c r="U30" i="2" s="1"/>
  <c r="T41" i="2"/>
  <c r="U41" i="2" s="1"/>
  <c r="T38" i="2"/>
  <c r="U38" i="2" s="1"/>
  <c r="T37" i="2"/>
  <c r="U37" i="2" s="1"/>
  <c r="T26" i="2"/>
  <c r="U26" i="2" s="1"/>
  <c r="T17" i="2"/>
  <c r="T15" i="2"/>
  <c r="U15" i="2" s="1"/>
  <c r="T19" i="2"/>
  <c r="U19" i="2" s="1"/>
  <c r="T12" i="2"/>
  <c r="U12" i="2" s="1"/>
  <c r="T10" i="2"/>
  <c r="U10" i="2" s="1"/>
  <c r="T6" i="2"/>
  <c r="U6" i="2" s="1"/>
  <c r="U27" i="2" l="1"/>
  <c r="U75" i="2" l="1"/>
  <c r="U70" i="2"/>
  <c r="U71" i="2"/>
  <c r="U69" i="2"/>
  <c r="U46" i="2"/>
  <c r="U45" i="2"/>
  <c r="U44" i="2"/>
  <c r="U39" i="2"/>
  <c r="U21" i="2"/>
  <c r="U31" i="2"/>
  <c r="U35" i="2"/>
  <c r="U24" i="2"/>
  <c r="U18" i="2"/>
  <c r="U14" i="2"/>
  <c r="U16" i="2"/>
  <c r="U11" i="2"/>
  <c r="U5" i="2"/>
  <c r="S79" i="2"/>
  <c r="S78" i="2"/>
  <c r="S77" i="2"/>
  <c r="S72" i="2"/>
  <c r="S65" i="2"/>
  <c r="S62" i="2"/>
  <c r="S58" i="2"/>
  <c r="U58" i="2" s="1"/>
  <c r="S49" i="2"/>
  <c r="S42" i="2"/>
  <c r="S43" i="2"/>
  <c r="U43" i="2" s="1"/>
  <c r="S34" i="2"/>
  <c r="S33" i="2"/>
  <c r="S17" i="2"/>
  <c r="U17" i="2" s="1"/>
  <c r="S20" i="2"/>
  <c r="S56" i="2"/>
  <c r="S9" i="2"/>
  <c r="S8" i="2"/>
  <c r="S7" i="2"/>
  <c r="O79" i="2" l="1"/>
  <c r="U79" i="2" s="1"/>
  <c r="O78" i="2"/>
  <c r="U78" i="2" s="1"/>
  <c r="O77" i="2"/>
  <c r="U77" i="2" s="1"/>
  <c r="O72" i="2"/>
  <c r="U72" i="2" s="1"/>
  <c r="O65" i="2"/>
  <c r="U65" i="2" s="1"/>
  <c r="O62" i="2"/>
  <c r="U62" i="2" s="1"/>
  <c r="O58" i="2"/>
  <c r="O49" i="2"/>
  <c r="U49" i="2" s="1"/>
  <c r="O42" i="2"/>
  <c r="U42" i="2" s="1"/>
  <c r="O34" i="2"/>
  <c r="U34" i="2" s="1"/>
  <c r="O33" i="2"/>
  <c r="U33" i="2" s="1"/>
  <c r="O17" i="2"/>
  <c r="O20" i="2"/>
  <c r="U20" i="2" s="1"/>
  <c r="O56" i="2"/>
  <c r="U56" i="2" s="1"/>
  <c r="O9" i="2"/>
  <c r="U9" i="2" s="1"/>
  <c r="O8" i="2"/>
  <c r="O7" i="2"/>
  <c r="U7" i="2" s="1"/>
  <c r="N73" i="2" l="1"/>
  <c r="N66" i="2"/>
  <c r="N58" i="2"/>
  <c r="N30" i="2"/>
  <c r="N38" i="2"/>
  <c r="N37" i="2"/>
  <c r="N17" i="2"/>
  <c r="N15" i="2"/>
  <c r="N19" i="2"/>
  <c r="N12" i="2"/>
  <c r="N10" i="2"/>
  <c r="M34" i="2" l="1"/>
  <c r="M79" i="2"/>
  <c r="M78" i="2"/>
  <c r="M77" i="2"/>
  <c r="M75" i="2"/>
  <c r="M65" i="2"/>
  <c r="M62" i="2"/>
  <c r="M58" i="2"/>
  <c r="M49" i="2"/>
  <c r="M42" i="2"/>
  <c r="M33" i="2"/>
  <c r="M24" i="2"/>
  <c r="M20" i="2"/>
  <c r="M17" i="2"/>
  <c r="M56" i="2"/>
  <c r="M9" i="2"/>
  <c r="M8" i="2"/>
  <c r="U8" i="2" s="1"/>
  <c r="U80" i="2" s="1"/>
  <c r="M7" i="2"/>
</calcChain>
</file>

<file path=xl/sharedStrings.xml><?xml version="1.0" encoding="utf-8"?>
<sst xmlns="http://schemas.openxmlformats.org/spreadsheetml/2006/main" count="564" uniqueCount="246">
  <si>
    <t xml:space="preserve">Kode </t>
  </si>
  <si>
    <t xml:space="preserve">Navn </t>
  </si>
  <si>
    <t xml:space="preserve">Ansvarlig faglærer </t>
  </si>
  <si>
    <t>Eivind Smith</t>
  </si>
  <si>
    <t>Selskapsrett</t>
  </si>
  <si>
    <t>Mads T. Andenæs</t>
  </si>
  <si>
    <t>Svein Eng</t>
  </si>
  <si>
    <t>Arbeidsrett - den individuelle del</t>
  </si>
  <si>
    <t>Arbeidsrett - den kollektive del</t>
  </si>
  <si>
    <t>Barnerett</t>
  </si>
  <si>
    <t>Kirsten Sandberg</t>
  </si>
  <si>
    <t>Bygge- og entrepriserett</t>
  </si>
  <si>
    <t>Comparative Private Law</t>
  </si>
  <si>
    <t>Ole-Andreas Rognstad</t>
  </si>
  <si>
    <t>Diskriminerings- og likestillingsrett</t>
  </si>
  <si>
    <t>Anne Hellum</t>
  </si>
  <si>
    <t>Erling Hjelmeng</t>
  </si>
  <si>
    <t>Ekspropriasjonsrett</t>
  </si>
  <si>
    <t>English Law of Contract</t>
  </si>
  <si>
    <t>Lee Bygrave</t>
  </si>
  <si>
    <t>Forsikringsrett</t>
  </si>
  <si>
    <t>Trine Lise Wilhelmsen</t>
  </si>
  <si>
    <t>Helserett</t>
  </si>
  <si>
    <t>International Commercial Law</t>
  </si>
  <si>
    <t>Giuditta Cordero Moss</t>
  </si>
  <si>
    <t>International Constitutional Law and Democracy</t>
  </si>
  <si>
    <t>Inger Johanne Sand</t>
  </si>
  <si>
    <t>International Criminal Law</t>
  </si>
  <si>
    <t>Jo Stigen</t>
  </si>
  <si>
    <t>International Environmental Law</t>
  </si>
  <si>
    <t>International Human Rights Law: Institutions and Procedures</t>
  </si>
  <si>
    <t>Maria Lundberg</t>
  </si>
  <si>
    <t>International Humanitarian Law (The Law of Armed Conflict)</t>
  </si>
  <si>
    <t>Kjetil M. Larsen</t>
  </si>
  <si>
    <t>Internasjonal privatrett</t>
  </si>
  <si>
    <t>Kommunalrett</t>
  </si>
  <si>
    <t>Kriminologi</t>
  </si>
  <si>
    <t>Marine Insurance</t>
  </si>
  <si>
    <t>Opphavsrett</t>
  </si>
  <si>
    <t>Knut Kaasen</t>
  </si>
  <si>
    <t>Petroleum Law</t>
  </si>
  <si>
    <t>Public International Law</t>
  </si>
  <si>
    <t>Refugee and Asylum Law</t>
  </si>
  <si>
    <t>Cecilia Baillet</t>
  </si>
  <si>
    <t>Rettshistorie</t>
  </si>
  <si>
    <t>Samerett</t>
  </si>
  <si>
    <t>Kirsti Strøm Bull</t>
  </si>
  <si>
    <t>Trygderett</t>
  </si>
  <si>
    <t>Utlendingsrett</t>
  </si>
  <si>
    <t>Women's Law and Human Rights</t>
  </si>
  <si>
    <t>JUS5120/JUR1120</t>
  </si>
  <si>
    <t>JUS5220/JUR1220</t>
  </si>
  <si>
    <t>JUS5230/JUR1230</t>
  </si>
  <si>
    <t>JUS5240/JUR1240</t>
  </si>
  <si>
    <t>JUS5260/JUR1260</t>
  </si>
  <si>
    <t>JUS5280/JUR1280</t>
  </si>
  <si>
    <t>EU Competition Law</t>
  </si>
  <si>
    <t> JUS5310/JUR1310</t>
  </si>
  <si>
    <t xml:space="preserve">Petroleumskontrakter </t>
  </si>
  <si>
    <t>JUS5430/JUR1430</t>
  </si>
  <si>
    <t>EU Substantive Law</t>
  </si>
  <si>
    <t>JUS5440/JUR1440</t>
  </si>
  <si>
    <t>JUS5450/JUR1450</t>
  </si>
  <si>
    <t>JUS5511/JUR1511</t>
  </si>
  <si>
    <t>JUS5512/1512</t>
  </si>
  <si>
    <t>JUS5530/JUR1530</t>
  </si>
  <si>
    <t>JUS5550/JUR1550</t>
  </si>
  <si>
    <t>JUS5560/JUR1560</t>
  </si>
  <si>
    <t>JUS5580/JUR1580</t>
  </si>
  <si>
    <t>JUS5590/JUR1590</t>
  </si>
  <si>
    <t>JUS5630/JUR1630</t>
  </si>
  <si>
    <t>JUS5710/JUR1710</t>
  </si>
  <si>
    <t>JUS5730/JUR1730</t>
  </si>
  <si>
    <t>JUS5901/JUR1901</t>
  </si>
  <si>
    <t>JUS5910/JUR1910</t>
  </si>
  <si>
    <t>JUS5960/JUR1960</t>
  </si>
  <si>
    <t>JUS5970/JUR1970</t>
  </si>
  <si>
    <t xml:space="preserve">Grunnleggende regnskapsforståelse og regnskapsrett </t>
  </si>
  <si>
    <t>JUR3011</t>
  </si>
  <si>
    <t>JUS5401</t>
  </si>
  <si>
    <t>JUS5402</t>
  </si>
  <si>
    <t xml:space="preserve">Maritime Law - Contracts </t>
  </si>
  <si>
    <t>Maritime Law: Liability and Insurance</t>
  </si>
  <si>
    <t>JUS5411</t>
  </si>
  <si>
    <t>JUS5500</t>
  </si>
  <si>
    <t>JUS5540</t>
  </si>
  <si>
    <t>JUS5570</t>
  </si>
  <si>
    <t>JUS5701</t>
  </si>
  <si>
    <t>JUS5801</t>
  </si>
  <si>
    <t xml:space="preserve">International Trade Law </t>
  </si>
  <si>
    <t>JUS5850</t>
  </si>
  <si>
    <t xml:space="preserve">International Climate Change and Energy Law </t>
  </si>
  <si>
    <t>JUS5911</t>
  </si>
  <si>
    <t>JUS5912</t>
  </si>
  <si>
    <t>JUS5980</t>
  </si>
  <si>
    <t xml:space="preserve">Praksisordning </t>
  </si>
  <si>
    <t>JUS5010</t>
  </si>
  <si>
    <t xml:space="preserve">Skatterett I, grunnleggende skatterett </t>
  </si>
  <si>
    <t xml:space="preserve">JUS5852 </t>
  </si>
  <si>
    <t>International Commercial Arbitration</t>
  </si>
  <si>
    <t xml:space="preserve">JUS5831 </t>
  </si>
  <si>
    <t>JUS5680</t>
  </si>
  <si>
    <t xml:space="preserve">Electronic Communications Law </t>
  </si>
  <si>
    <t xml:space="preserve">JUS5670 </t>
  </si>
  <si>
    <t xml:space="preserve">Electronic Commerce Law </t>
  </si>
  <si>
    <t xml:space="preserve">JUS5660 </t>
  </si>
  <si>
    <t xml:space="preserve">Intellectual Property Law in the Information Society </t>
  </si>
  <si>
    <t>JUS5650</t>
  </si>
  <si>
    <t xml:space="preserve">Enforcement and Dispute Resolution in a Digital Context </t>
  </si>
  <si>
    <t>Allmen rettsteori</t>
  </si>
  <si>
    <t>x</t>
  </si>
  <si>
    <t>Ole Kristian Fauchald  </t>
  </si>
  <si>
    <t>Endre Stavang </t>
  </si>
  <si>
    <t>JUS5851</t>
  </si>
  <si>
    <t xml:space="preserve">International Investment Law </t>
  </si>
  <si>
    <t xml:space="preserve">Privacy and  Data Protection </t>
  </si>
  <si>
    <t>Christina Voigt</t>
  </si>
  <si>
    <t>Trond Solvang</t>
  </si>
  <si>
    <t xml:space="preserve">Ivar Alvik </t>
  </si>
  <si>
    <t xml:space="preserve">Internet Governance </t>
  </si>
  <si>
    <t>Ole Kristian Fauchald</t>
  </si>
  <si>
    <t xml:space="preserve">Lee Bygrave </t>
  </si>
  <si>
    <t xml:space="preserve">Ole Andreas Rognstad </t>
  </si>
  <si>
    <t xml:space="preserve">Erik Røsæg </t>
  </si>
  <si>
    <t xml:space="preserve">The Right to Peace </t>
  </si>
  <si>
    <t>JUS5981/JUR1981</t>
  </si>
  <si>
    <t>JUR1285</t>
  </si>
  <si>
    <t xml:space="preserve">Sjørett - Kontrakter </t>
  </si>
  <si>
    <t>JUS5403</t>
  </si>
  <si>
    <t>JUS5404</t>
  </si>
  <si>
    <t xml:space="preserve">Sjørett - Ansvar og forsikring </t>
  </si>
  <si>
    <t xml:space="preserve">Trond Solvang </t>
  </si>
  <si>
    <t>Environmental Law and Economics</t>
  </si>
  <si>
    <t xml:space="preserve">Herman Bruserud </t>
  </si>
  <si>
    <t xml:space="preserve">Marit Halvorsen </t>
  </si>
  <si>
    <t xml:space="preserve">Eksamensmøtte </t>
  </si>
  <si>
    <t>V10</t>
  </si>
  <si>
    <t>H10</t>
  </si>
  <si>
    <t>V11</t>
  </si>
  <si>
    <t>H11</t>
  </si>
  <si>
    <t>V12</t>
  </si>
  <si>
    <t xml:space="preserve">Gjennomsnittstall </t>
  </si>
  <si>
    <t xml:space="preserve">Kan opprette undervisning </t>
  </si>
  <si>
    <t xml:space="preserve">Har undervisning men er under grensen </t>
  </si>
  <si>
    <t xml:space="preserve">Undervisning i emnet opprettet ekstraordinært i forbindelse med profilen </t>
  </si>
  <si>
    <t>JUS5641/JUR1641</t>
  </si>
  <si>
    <t>JUS5860</t>
  </si>
  <si>
    <t xml:space="preserve">Kommentar eksamensmøtte </t>
  </si>
  <si>
    <t>JUS5920</t>
  </si>
  <si>
    <t>H12</t>
  </si>
  <si>
    <t>JUS5520</t>
  </si>
  <si>
    <t>Naturressursrett i et miljøperspektiv</t>
  </si>
  <si>
    <t>En student på BA og MA h12</t>
  </si>
  <si>
    <t>JUS5810</t>
  </si>
  <si>
    <t>Emnet er 5 SP</t>
  </si>
  <si>
    <t>V13</t>
  </si>
  <si>
    <t>Sosialrett</t>
  </si>
  <si>
    <t>JUS5950</t>
  </si>
  <si>
    <t>JUS5720</t>
  </si>
  <si>
    <t>Vibeke B. Strand</t>
  </si>
  <si>
    <t>JUS5503</t>
  </si>
  <si>
    <t>Tobias Mahler</t>
  </si>
  <si>
    <t>Kirsten Ketscher</t>
  </si>
  <si>
    <t xml:space="preserve">Patent- og varemerkerett </t>
  </si>
  <si>
    <t>JUS5501</t>
  </si>
  <si>
    <t>Rettslig bevisteori</t>
  </si>
  <si>
    <t xml:space="preserve">Alf Petter Høgberg </t>
  </si>
  <si>
    <t>Finansmarkedsrett</t>
  </si>
  <si>
    <t xml:space="preserve">Mads Andenæs? </t>
  </si>
  <si>
    <t>JUS5880</t>
  </si>
  <si>
    <r>
      <t>JUS5420</t>
    </r>
    <r>
      <rPr>
        <sz val="11"/>
        <color theme="0" tint="-0.34998626667073579"/>
        <rFont val="Calibri"/>
        <family val="2"/>
        <scheme val="minor"/>
      </rPr>
      <t>/JUR1420</t>
    </r>
  </si>
  <si>
    <t>Human Rights and Counter-Terrorism: Striking a Balance?</t>
  </si>
  <si>
    <t xml:space="preserve">Cecilia Baillet </t>
  </si>
  <si>
    <r>
      <t>JUS5251</t>
    </r>
    <r>
      <rPr>
        <sz val="11"/>
        <color theme="0" tint="-0.34998626667073579"/>
        <rFont val="Calibri"/>
        <family val="2"/>
        <scheme val="minor"/>
      </rPr>
      <t>/JUR1251</t>
    </r>
  </si>
  <si>
    <t xml:space="preserve">Lovgivningslære </t>
  </si>
  <si>
    <t xml:space="preserve">Inge Lorange Backer </t>
  </si>
  <si>
    <t xml:space="preserve">Johan Mulder </t>
  </si>
  <si>
    <t>JUS5870</t>
  </si>
  <si>
    <t>JUS5820/JUR1820</t>
  </si>
  <si>
    <t>Konkurs- og panterett</t>
  </si>
  <si>
    <t>H13</t>
  </si>
  <si>
    <t>JUS5502</t>
  </si>
  <si>
    <t>V14</t>
  </si>
  <si>
    <t>Alla Pozdnakova</t>
  </si>
  <si>
    <t>H14</t>
  </si>
  <si>
    <t>V15</t>
  </si>
  <si>
    <t>H15</t>
  </si>
  <si>
    <t>JUS5940</t>
  </si>
  <si>
    <t>Offentlige anskaffelser</t>
  </si>
  <si>
    <t>Finn Arnesen</t>
  </si>
  <si>
    <t>JUS5405</t>
  </si>
  <si>
    <t>Law of the Sea</t>
  </si>
  <si>
    <t>JUS5930</t>
  </si>
  <si>
    <t>Comparative Public Law</t>
  </si>
  <si>
    <t>Cecilia Bailliet</t>
  </si>
  <si>
    <t>JUS5504/JUR1504</t>
  </si>
  <si>
    <t>Konflikthåndtering</t>
  </si>
  <si>
    <t>Sverre Blandhol</t>
  </si>
  <si>
    <t>JUS5102</t>
  </si>
  <si>
    <t>Heidi Mork Lomell</t>
  </si>
  <si>
    <t xml:space="preserve">Morten Kjelland </t>
  </si>
  <si>
    <t xml:space="preserve">Margrethe Christoffersen </t>
  </si>
  <si>
    <t xml:space="preserve">Ingunn Ikdahl </t>
  </si>
  <si>
    <t>Inger Berg Ørstavik</t>
  </si>
  <si>
    <t xml:space="preserve">Arvid Aage Skaar </t>
  </si>
  <si>
    <t xml:space="preserve">Gentian Zyberi </t>
  </si>
  <si>
    <t>Menneskerettigheter</t>
  </si>
  <si>
    <t xml:space="preserve">Legal Writing and Oral Advocacy in International Law </t>
  </si>
  <si>
    <t xml:space="preserve">Lee A Bygrave </t>
  </si>
  <si>
    <t>JUS5134</t>
  </si>
  <si>
    <t xml:space="preserve">Cecilia Bailliet </t>
  </si>
  <si>
    <t>Skatterett II</t>
  </si>
  <si>
    <t>JUS5982</t>
  </si>
  <si>
    <t xml:space="preserve">Skatterett III Internasjonal skatterett </t>
  </si>
  <si>
    <t>V16</t>
  </si>
  <si>
    <t>Innføring i markeds-, konkurranse- og immaterialrett</t>
  </si>
  <si>
    <t xml:space="preserve">European Labour Law </t>
  </si>
  <si>
    <t>H16</t>
  </si>
  <si>
    <t xml:space="preserve">Henrik Bjørnebye vikar 2017 </t>
  </si>
  <si>
    <t>Praksis i JURK</t>
  </si>
  <si>
    <t>JUS5011</t>
  </si>
  <si>
    <t>Praksis i JUSS-BUSS</t>
  </si>
  <si>
    <t>JUS5012</t>
  </si>
  <si>
    <t xml:space="preserve">Mona Keiko Løken </t>
  </si>
  <si>
    <t xml:space="preserve">Johann Mulder </t>
  </si>
  <si>
    <t xml:space="preserve">Vår </t>
  </si>
  <si>
    <t xml:space="preserve">Høst </t>
  </si>
  <si>
    <t>PIL</t>
  </si>
  <si>
    <t>HUMR</t>
  </si>
  <si>
    <t>ICTL</t>
  </si>
  <si>
    <t>MARL</t>
  </si>
  <si>
    <t>AID</t>
  </si>
  <si>
    <t>IR</t>
  </si>
  <si>
    <t>IKR</t>
  </si>
  <si>
    <t>KO</t>
  </si>
  <si>
    <t>MIK</t>
  </si>
  <si>
    <t>NM</t>
  </si>
  <si>
    <t>SO</t>
  </si>
  <si>
    <t>VL</t>
  </si>
  <si>
    <t xml:space="preserve">Prosedyrekonkuranse </t>
  </si>
  <si>
    <t>JUS5040</t>
  </si>
  <si>
    <t xml:space="preserve">Forhandlinger </t>
  </si>
  <si>
    <t xml:space="preserve">Inngår emne i LLMs eller profil? </t>
  </si>
  <si>
    <t>LLMs</t>
  </si>
  <si>
    <t xml:space="preserve">Profiler </t>
  </si>
  <si>
    <t xml:space="preserve">Grønt kryss for valgfritt emne i LLM/profil, rødt kryss for obligatorisk emne i LLM/profil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</si>
</sst>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0" borderId="1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49" fontId="0" fillId="0" borderId="0" xfId="0" applyNumberForma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0" fillId="0" borderId="5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1" xfId="0" applyFont="1" applyFill="1" applyBorder="1" applyAlignment="1">
      <alignment horizontal="right" wrapText="1"/>
    </xf>
    <xf numFmtId="0" fontId="0" fillId="0" borderId="1" xfId="0" applyNumberFormat="1" applyFill="1" applyBorder="1" applyAlignment="1">
      <alignment wrapText="1"/>
    </xf>
    <xf numFmtId="49" fontId="0" fillId="0" borderId="1" xfId="0" applyNumberFormat="1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8" xfId="0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1" fontId="1" fillId="0" borderId="1" xfId="0" applyNumberFormat="1" applyFont="1" applyFill="1" applyBorder="1" applyAlignment="1">
      <alignment wrapText="1"/>
    </xf>
    <xf numFmtId="1" fontId="0" fillId="0" borderId="1" xfId="0" applyNumberForma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1" fontId="0" fillId="0" borderId="1" xfId="0" applyNumberFormat="1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" fontId="5" fillId="0" borderId="1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3" fillId="0" borderId="1" xfId="0" applyNumberFormat="1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0" fillId="0" borderId="4" xfId="0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0" fillId="0" borderId="6" xfId="0" applyFill="1" applyBorder="1" applyAlignment="1">
      <alignment wrapText="1"/>
    </xf>
    <xf numFmtId="0" fontId="6" fillId="0" borderId="6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1" fontId="0" fillId="0" borderId="8" xfId="0" applyNumberFormat="1" applyFill="1" applyBorder="1" applyAlignment="1">
      <alignment wrapText="1"/>
    </xf>
    <xf numFmtId="0" fontId="0" fillId="0" borderId="8" xfId="0" applyFont="1" applyFill="1" applyBorder="1" applyAlignment="1">
      <alignment wrapText="1"/>
    </xf>
    <xf numFmtId="0" fontId="6" fillId="0" borderId="8" xfId="0" applyFont="1" applyFill="1" applyBorder="1" applyAlignment="1">
      <alignment wrapText="1"/>
    </xf>
    <xf numFmtId="0" fontId="7" fillId="0" borderId="8" xfId="0" applyFont="1" applyFill="1" applyBorder="1" applyAlignment="1">
      <alignment wrapText="1"/>
    </xf>
    <xf numFmtId="0" fontId="1" fillId="0" borderId="8" xfId="0" applyFont="1" applyFill="1" applyBorder="1" applyAlignment="1">
      <alignment wrapText="1"/>
    </xf>
    <xf numFmtId="0" fontId="1" fillId="0" borderId="9" xfId="0" applyFont="1" applyFill="1" applyBorder="1" applyAlignment="1">
      <alignment wrapText="1"/>
    </xf>
    <xf numFmtId="0" fontId="2" fillId="0" borderId="1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1"/>
  <sheetViews>
    <sheetView tabSelected="1" zoomScale="90" zoomScaleNormal="90" workbookViewId="0">
      <selection activeCell="B49" sqref="B49"/>
    </sheetView>
  </sheetViews>
  <sheetFormatPr defaultColWidth="9.140625" defaultRowHeight="15" x14ac:dyDescent="0.25"/>
  <cols>
    <col min="1" max="1" width="17.7109375" style="1" customWidth="1"/>
    <col min="2" max="2" width="63.5703125" style="1" customWidth="1"/>
    <col min="3" max="3" width="21.42578125" style="1" hidden="1" customWidth="1"/>
    <col min="4" max="4" width="5.28515625" style="1" hidden="1" customWidth="1"/>
    <col min="5" max="5" width="4.85546875" style="1" hidden="1" customWidth="1"/>
    <col min="6" max="6" width="0.5703125" style="1" hidden="1" customWidth="1"/>
    <col min="7" max="7" width="4.42578125" style="1" hidden="1" customWidth="1"/>
    <col min="8" max="8" width="4.28515625" style="1" hidden="1" customWidth="1"/>
    <col min="9" max="9" width="6" style="1" hidden="1" customWidth="1"/>
    <col min="10" max="10" width="6.5703125" style="1" hidden="1" customWidth="1"/>
    <col min="11" max="11" width="7.28515625" style="1" hidden="1" customWidth="1"/>
    <col min="12" max="12" width="8.5703125" style="1" hidden="1" customWidth="1"/>
    <col min="13" max="13" width="7.140625" style="1" hidden="1" customWidth="1"/>
    <col min="14" max="14" width="9.5703125" style="1" hidden="1" customWidth="1"/>
    <col min="15" max="15" width="10.42578125" style="1" hidden="1" customWidth="1"/>
    <col min="16" max="16" width="7.7109375" style="1" hidden="1" customWidth="1"/>
    <col min="17" max="17" width="10.28515625" style="1" hidden="1" customWidth="1"/>
    <col min="18" max="18" width="6.85546875" style="1" hidden="1" customWidth="1"/>
    <col min="19" max="19" width="9" style="1" hidden="1" customWidth="1"/>
    <col min="20" max="20" width="8.5703125" style="1" hidden="1" customWidth="1"/>
    <col min="21" max="21" width="14.140625" style="1" hidden="1" customWidth="1"/>
    <col min="22" max="22" width="54.7109375" style="1" hidden="1" customWidth="1"/>
    <col min="23" max="23" width="16.140625" style="1" customWidth="1"/>
    <col min="24" max="24" width="7.42578125" style="1" customWidth="1"/>
    <col min="25" max="16384" width="9.140625" style="1"/>
  </cols>
  <sheetData>
    <row r="1" spans="1:36" x14ac:dyDescent="0.25">
      <c r="A1" s="31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8" t="s">
        <v>243</v>
      </c>
      <c r="Y1" s="32"/>
      <c r="Z1" s="32"/>
      <c r="AA1" s="32"/>
      <c r="AB1" s="8" t="s">
        <v>244</v>
      </c>
      <c r="AC1" s="32"/>
      <c r="AD1" s="32"/>
      <c r="AE1" s="32"/>
      <c r="AF1" s="32"/>
      <c r="AG1" s="32"/>
      <c r="AH1" s="32"/>
      <c r="AI1" s="33"/>
    </row>
    <row r="2" spans="1:36" ht="41.25" customHeight="1" x14ac:dyDescent="0.25">
      <c r="A2" s="34" t="s">
        <v>0</v>
      </c>
      <c r="B2" s="17" t="s">
        <v>1</v>
      </c>
      <c r="C2" s="17" t="s">
        <v>2</v>
      </c>
      <c r="D2" s="17" t="s">
        <v>225</v>
      </c>
      <c r="E2" s="17" t="s">
        <v>226</v>
      </c>
      <c r="F2" s="17" t="s">
        <v>135</v>
      </c>
      <c r="G2" s="17" t="s">
        <v>136</v>
      </c>
      <c r="H2" s="17" t="s">
        <v>137</v>
      </c>
      <c r="I2" s="17" t="s">
        <v>138</v>
      </c>
      <c r="J2" s="17" t="s">
        <v>139</v>
      </c>
      <c r="K2" s="17" t="s">
        <v>140</v>
      </c>
      <c r="L2" s="17" t="s">
        <v>149</v>
      </c>
      <c r="M2" s="17" t="s">
        <v>155</v>
      </c>
      <c r="N2" s="17" t="s">
        <v>180</v>
      </c>
      <c r="O2" s="17" t="s">
        <v>182</v>
      </c>
      <c r="P2" s="17" t="s">
        <v>184</v>
      </c>
      <c r="Q2" s="17" t="s">
        <v>185</v>
      </c>
      <c r="R2" s="17" t="s">
        <v>186</v>
      </c>
      <c r="S2" s="17" t="s">
        <v>214</v>
      </c>
      <c r="T2" s="17" t="s">
        <v>217</v>
      </c>
      <c r="U2" s="18" t="s">
        <v>141</v>
      </c>
      <c r="V2" s="17" t="s">
        <v>147</v>
      </c>
      <c r="W2" s="17" t="s">
        <v>242</v>
      </c>
      <c r="X2" s="17" t="s">
        <v>227</v>
      </c>
      <c r="Y2" s="17" t="s">
        <v>228</v>
      </c>
      <c r="Z2" s="17" t="s">
        <v>229</v>
      </c>
      <c r="AA2" s="17" t="s">
        <v>230</v>
      </c>
      <c r="AB2" s="17" t="s">
        <v>231</v>
      </c>
      <c r="AC2" s="17" t="s">
        <v>232</v>
      </c>
      <c r="AD2" s="17" t="s">
        <v>233</v>
      </c>
      <c r="AE2" s="17" t="s">
        <v>234</v>
      </c>
      <c r="AF2" s="17" t="s">
        <v>235</v>
      </c>
      <c r="AG2" s="17" t="s">
        <v>236</v>
      </c>
      <c r="AH2" s="17" t="s">
        <v>237</v>
      </c>
      <c r="AI2" s="35" t="s">
        <v>238</v>
      </c>
      <c r="AJ2" s="47" t="s">
        <v>245</v>
      </c>
    </row>
    <row r="3" spans="1:36" x14ac:dyDescent="0.25">
      <c r="A3" s="9"/>
      <c r="B3" s="17"/>
      <c r="C3" s="17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9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36"/>
    </row>
    <row r="4" spans="1:36" x14ac:dyDescent="0.25">
      <c r="A4" s="9"/>
      <c r="B4" s="10"/>
      <c r="C4" s="17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9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36"/>
    </row>
    <row r="5" spans="1:36" x14ac:dyDescent="0.25">
      <c r="A5" s="9" t="s">
        <v>84</v>
      </c>
      <c r="B5" s="10" t="s">
        <v>109</v>
      </c>
      <c r="C5" s="10" t="s">
        <v>6</v>
      </c>
      <c r="D5" s="10" t="s">
        <v>110</v>
      </c>
      <c r="E5" s="10"/>
      <c r="F5" s="10">
        <v>2</v>
      </c>
      <c r="G5" s="10"/>
      <c r="H5" s="10">
        <v>2</v>
      </c>
      <c r="I5" s="10"/>
      <c r="J5" s="10">
        <v>3</v>
      </c>
      <c r="K5" s="10"/>
      <c r="L5" s="10">
        <v>2</v>
      </c>
      <c r="M5" s="10">
        <v>6</v>
      </c>
      <c r="N5" s="10"/>
      <c r="O5" s="10">
        <v>4</v>
      </c>
      <c r="P5" s="10"/>
      <c r="Q5" s="10">
        <v>1</v>
      </c>
      <c r="R5" s="10"/>
      <c r="S5" s="10">
        <v>1</v>
      </c>
      <c r="T5" s="10"/>
      <c r="U5" s="20">
        <f>(O5+Q5+S5)/3</f>
        <v>2</v>
      </c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36"/>
    </row>
    <row r="6" spans="1:36" x14ac:dyDescent="0.25">
      <c r="A6" s="9" t="s">
        <v>63</v>
      </c>
      <c r="B6" s="10" t="s">
        <v>7</v>
      </c>
      <c r="C6" s="10" t="s">
        <v>176</v>
      </c>
      <c r="D6" s="10"/>
      <c r="E6" s="10" t="s">
        <v>110</v>
      </c>
      <c r="F6" s="10">
        <v>158</v>
      </c>
      <c r="G6" s="10"/>
      <c r="H6" s="10">
        <v>170</v>
      </c>
      <c r="I6" s="14"/>
      <c r="J6" s="13">
        <v>250</v>
      </c>
      <c r="K6" s="14"/>
      <c r="L6" s="13">
        <v>247</v>
      </c>
      <c r="M6" s="14"/>
      <c r="N6" s="13">
        <v>263</v>
      </c>
      <c r="O6" s="14"/>
      <c r="P6" s="13">
        <v>303</v>
      </c>
      <c r="Q6" s="14"/>
      <c r="R6" s="13">
        <v>345</v>
      </c>
      <c r="S6" s="13"/>
      <c r="T6" s="13">
        <f>194+174</f>
        <v>368</v>
      </c>
      <c r="U6" s="21">
        <f>(P6+R6+T6)/3</f>
        <v>338.66666666666669</v>
      </c>
      <c r="V6" s="21">
        <v>271</v>
      </c>
      <c r="W6" s="21" t="s">
        <v>110</v>
      </c>
      <c r="X6" s="10"/>
      <c r="Y6" s="10"/>
      <c r="Z6" s="10"/>
      <c r="AA6" s="10"/>
      <c r="AB6" s="22" t="s">
        <v>110</v>
      </c>
      <c r="AC6" s="10"/>
      <c r="AD6" s="10"/>
      <c r="AE6" s="10"/>
      <c r="AF6" s="23" t="s">
        <v>110</v>
      </c>
      <c r="AG6" s="10"/>
      <c r="AH6" s="10"/>
      <c r="AI6" s="37" t="s">
        <v>110</v>
      </c>
    </row>
    <row r="7" spans="1:36" x14ac:dyDescent="0.25">
      <c r="A7" s="9" t="s">
        <v>64</v>
      </c>
      <c r="B7" s="10" t="s">
        <v>8</v>
      </c>
      <c r="C7" s="10" t="s">
        <v>176</v>
      </c>
      <c r="D7" s="10" t="s">
        <v>110</v>
      </c>
      <c r="E7" s="10"/>
      <c r="F7" s="10"/>
      <c r="G7" s="10">
        <v>49</v>
      </c>
      <c r="H7" s="10"/>
      <c r="I7" s="10">
        <v>61</v>
      </c>
      <c r="J7" s="10"/>
      <c r="K7" s="10">
        <v>75</v>
      </c>
      <c r="L7" s="10"/>
      <c r="M7" s="10">
        <f>46+45</f>
        <v>91</v>
      </c>
      <c r="N7" s="10"/>
      <c r="O7" s="10">
        <f>47+47</f>
        <v>94</v>
      </c>
      <c r="P7" s="10"/>
      <c r="Q7" s="10">
        <v>55</v>
      </c>
      <c r="R7" s="10"/>
      <c r="S7" s="10">
        <f>45+54</f>
        <v>99</v>
      </c>
      <c r="T7" s="10"/>
      <c r="U7" s="21">
        <f>(O7+Q7+S7)/3</f>
        <v>82.666666666666671</v>
      </c>
      <c r="V7" s="10"/>
      <c r="W7" s="10" t="s">
        <v>110</v>
      </c>
      <c r="X7" s="10"/>
      <c r="Y7" s="10"/>
      <c r="Z7" s="10"/>
      <c r="AA7" s="10"/>
      <c r="AB7" s="22" t="s">
        <v>110</v>
      </c>
      <c r="AC7" s="10"/>
      <c r="AD7" s="10"/>
      <c r="AE7" s="10"/>
      <c r="AF7" s="10"/>
      <c r="AG7" s="10"/>
      <c r="AH7" s="10"/>
      <c r="AI7" s="36"/>
    </row>
    <row r="8" spans="1:36" x14ac:dyDescent="0.25">
      <c r="A8" s="9" t="s">
        <v>76</v>
      </c>
      <c r="B8" s="10" t="s">
        <v>9</v>
      </c>
      <c r="C8" s="10" t="s">
        <v>10</v>
      </c>
      <c r="D8" s="10" t="s">
        <v>110</v>
      </c>
      <c r="E8" s="10"/>
      <c r="F8" s="10"/>
      <c r="G8" s="10">
        <v>92</v>
      </c>
      <c r="H8" s="10"/>
      <c r="I8" s="10">
        <v>99</v>
      </c>
      <c r="J8" s="10"/>
      <c r="K8" s="13">
        <v>131</v>
      </c>
      <c r="L8" s="10"/>
      <c r="M8" s="10">
        <f>64+84</f>
        <v>148</v>
      </c>
      <c r="N8" s="10"/>
      <c r="O8" s="10">
        <f>76+107</f>
        <v>183</v>
      </c>
      <c r="P8" s="10"/>
      <c r="Q8" s="10">
        <v>177</v>
      </c>
      <c r="R8" s="10"/>
      <c r="S8" s="10">
        <f>56+160</f>
        <v>216</v>
      </c>
      <c r="T8" s="10"/>
      <c r="U8" s="21">
        <f>(K8+M8+O8+Q8)/4</f>
        <v>159.75</v>
      </c>
      <c r="V8" s="10"/>
      <c r="W8" s="10" t="s">
        <v>110</v>
      </c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38" t="s">
        <v>110</v>
      </c>
    </row>
    <row r="9" spans="1:36" x14ac:dyDescent="0.25">
      <c r="A9" s="9" t="s">
        <v>51</v>
      </c>
      <c r="B9" s="10" t="s">
        <v>11</v>
      </c>
      <c r="C9" s="10" t="s">
        <v>133</v>
      </c>
      <c r="D9" s="10" t="s">
        <v>110</v>
      </c>
      <c r="E9" s="10"/>
      <c r="F9" s="10"/>
      <c r="G9" s="10">
        <v>12</v>
      </c>
      <c r="H9" s="10"/>
      <c r="I9" s="10">
        <v>26</v>
      </c>
      <c r="J9" s="10"/>
      <c r="K9" s="10">
        <v>36</v>
      </c>
      <c r="L9" s="10"/>
      <c r="M9" s="10">
        <f>46+46</f>
        <v>92</v>
      </c>
      <c r="N9" s="10"/>
      <c r="O9" s="10">
        <f>71+31</f>
        <v>102</v>
      </c>
      <c r="P9" s="10"/>
      <c r="Q9" s="10">
        <v>104</v>
      </c>
      <c r="R9" s="10"/>
      <c r="S9" s="10">
        <f>96+51</f>
        <v>147</v>
      </c>
      <c r="T9" s="10"/>
      <c r="U9" s="24">
        <f>(O9+Q9+S9)/3</f>
        <v>117.66666666666667</v>
      </c>
      <c r="V9" s="25"/>
      <c r="W9" s="25"/>
      <c r="X9" s="25"/>
      <c r="Y9" s="17"/>
      <c r="Z9" s="10"/>
      <c r="AA9" s="10"/>
      <c r="AB9" s="10"/>
      <c r="AC9" s="10"/>
      <c r="AD9" s="10"/>
      <c r="AE9" s="10"/>
      <c r="AF9" s="10"/>
      <c r="AG9" s="10"/>
      <c r="AH9" s="10"/>
      <c r="AI9" s="36"/>
    </row>
    <row r="10" spans="1:36" x14ac:dyDescent="0.25">
      <c r="A10" s="9" t="s">
        <v>53</v>
      </c>
      <c r="B10" s="10" t="s">
        <v>12</v>
      </c>
      <c r="C10" s="10" t="s">
        <v>5</v>
      </c>
      <c r="D10" s="10"/>
      <c r="E10" s="10" t="s">
        <v>110</v>
      </c>
      <c r="F10" s="10">
        <v>27</v>
      </c>
      <c r="G10" s="10"/>
      <c r="H10" s="10">
        <v>34</v>
      </c>
      <c r="I10" s="10"/>
      <c r="J10" s="10">
        <v>23</v>
      </c>
      <c r="K10" s="10"/>
      <c r="L10" s="10">
        <v>43</v>
      </c>
      <c r="M10" s="10"/>
      <c r="N10" s="10">
        <f>16+44</f>
        <v>60</v>
      </c>
      <c r="O10" s="10"/>
      <c r="P10" s="10">
        <v>66</v>
      </c>
      <c r="Q10" s="10"/>
      <c r="R10" s="10">
        <v>46</v>
      </c>
      <c r="S10" s="10"/>
      <c r="T10" s="10">
        <f>28+19</f>
        <v>47</v>
      </c>
      <c r="U10" s="21">
        <f>(P10+R10+T10)/3</f>
        <v>53</v>
      </c>
      <c r="V10" s="25"/>
      <c r="W10" s="25" t="s">
        <v>110</v>
      </c>
      <c r="X10" s="23" t="s">
        <v>110</v>
      </c>
      <c r="Y10" s="26" t="s">
        <v>110</v>
      </c>
      <c r="Z10" s="10"/>
      <c r="AA10" s="10"/>
      <c r="AB10" s="10"/>
      <c r="AC10" s="10"/>
      <c r="AD10" s="23" t="s">
        <v>110</v>
      </c>
      <c r="AE10" s="22" t="s">
        <v>110</v>
      </c>
      <c r="AF10" s="23" t="s">
        <v>110</v>
      </c>
      <c r="AG10" s="10"/>
      <c r="AH10" s="10"/>
      <c r="AI10" s="36"/>
    </row>
    <row r="11" spans="1:36" x14ac:dyDescent="0.25">
      <c r="A11" s="9" t="s">
        <v>192</v>
      </c>
      <c r="B11" s="10" t="s">
        <v>193</v>
      </c>
      <c r="C11" s="10" t="s">
        <v>194</v>
      </c>
      <c r="D11" s="10" t="s">
        <v>110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>
        <v>11</v>
      </c>
      <c r="T11" s="10"/>
      <c r="U11" s="20">
        <f>S11</f>
        <v>11</v>
      </c>
      <c r="V11" s="25"/>
      <c r="W11" s="25" t="s">
        <v>110</v>
      </c>
      <c r="X11" s="23" t="s">
        <v>110</v>
      </c>
      <c r="Y11" s="26"/>
      <c r="Z11" s="10"/>
      <c r="AA11" s="10"/>
      <c r="AB11" s="10"/>
      <c r="AC11" s="10"/>
      <c r="AD11" s="10"/>
      <c r="AE11" s="22" t="s">
        <v>110</v>
      </c>
      <c r="AF11" s="10"/>
      <c r="AG11" s="10"/>
      <c r="AH11" s="10"/>
      <c r="AI11" s="36"/>
    </row>
    <row r="12" spans="1:36" s="2" customFormat="1" x14ac:dyDescent="0.25">
      <c r="A12" s="11" t="s">
        <v>178</v>
      </c>
      <c r="B12" s="10" t="s">
        <v>14</v>
      </c>
      <c r="C12" s="10" t="s">
        <v>15</v>
      </c>
      <c r="D12" s="10"/>
      <c r="E12" s="10" t="s">
        <v>110</v>
      </c>
      <c r="F12" s="10">
        <v>38</v>
      </c>
      <c r="G12" s="10"/>
      <c r="H12" s="10">
        <v>33</v>
      </c>
      <c r="I12" s="10"/>
      <c r="J12" s="10">
        <v>37</v>
      </c>
      <c r="K12" s="10"/>
      <c r="L12" s="10">
        <v>47</v>
      </c>
      <c r="M12" s="10"/>
      <c r="N12" s="10">
        <f>37+17</f>
        <v>54</v>
      </c>
      <c r="O12" s="10"/>
      <c r="P12" s="10">
        <v>65</v>
      </c>
      <c r="Q12" s="10"/>
      <c r="R12" s="10">
        <v>72</v>
      </c>
      <c r="S12" s="10"/>
      <c r="T12" s="10">
        <f>40+39</f>
        <v>79</v>
      </c>
      <c r="U12" s="21">
        <f>(P12+R12+T12)/3</f>
        <v>72</v>
      </c>
      <c r="V12" s="25"/>
      <c r="W12" s="25" t="s">
        <v>110</v>
      </c>
      <c r="X12" s="25"/>
      <c r="Y12" s="26"/>
      <c r="Z12" s="10"/>
      <c r="AA12" s="10"/>
      <c r="AB12" s="22" t="s">
        <v>110</v>
      </c>
      <c r="AC12" s="10"/>
      <c r="AD12" s="10"/>
      <c r="AE12" s="10"/>
      <c r="AF12" s="10"/>
      <c r="AG12" s="10"/>
      <c r="AH12" s="10"/>
      <c r="AI12" s="38" t="s">
        <v>110</v>
      </c>
    </row>
    <row r="13" spans="1:36" ht="30" x14ac:dyDescent="0.25">
      <c r="A13" s="9" t="s">
        <v>69</v>
      </c>
      <c r="B13" s="10" t="s">
        <v>17</v>
      </c>
      <c r="C13" s="10" t="s">
        <v>218</v>
      </c>
      <c r="D13" s="10"/>
      <c r="E13" s="10" t="s">
        <v>110</v>
      </c>
      <c r="F13" s="10">
        <v>14</v>
      </c>
      <c r="G13" s="10"/>
      <c r="H13" s="10">
        <v>19</v>
      </c>
      <c r="I13" s="10"/>
      <c r="J13" s="10">
        <v>23</v>
      </c>
      <c r="K13" s="10"/>
      <c r="L13" s="10">
        <v>36</v>
      </c>
      <c r="M13" s="10"/>
      <c r="N13" s="10">
        <v>32</v>
      </c>
      <c r="O13" s="10"/>
      <c r="P13" s="10">
        <v>25</v>
      </c>
      <c r="Q13" s="10"/>
      <c r="R13" s="10">
        <v>39</v>
      </c>
      <c r="S13" s="10"/>
      <c r="T13" s="10">
        <v>26</v>
      </c>
      <c r="U13" s="21">
        <f>(P13+R13+T13)/3</f>
        <v>30</v>
      </c>
      <c r="V13" s="25"/>
      <c r="W13" s="25" t="s">
        <v>110</v>
      </c>
      <c r="X13" s="25"/>
      <c r="Y13" s="26"/>
      <c r="Z13" s="22"/>
      <c r="AA13" s="10"/>
      <c r="AB13" s="10"/>
      <c r="AC13" s="10"/>
      <c r="AD13" s="10"/>
      <c r="AE13" s="10"/>
      <c r="AF13" s="10"/>
      <c r="AG13" s="22" t="s">
        <v>110</v>
      </c>
      <c r="AH13" s="10"/>
      <c r="AI13" s="36"/>
    </row>
    <row r="14" spans="1:36" x14ac:dyDescent="0.25">
      <c r="A14" s="9" t="s">
        <v>107</v>
      </c>
      <c r="B14" s="10" t="s">
        <v>104</v>
      </c>
      <c r="C14" s="5" t="s">
        <v>121</v>
      </c>
      <c r="D14" s="10" t="s">
        <v>110</v>
      </c>
      <c r="E14" s="10"/>
      <c r="F14" s="10"/>
      <c r="G14" s="10"/>
      <c r="H14" s="10"/>
      <c r="I14" s="10"/>
      <c r="J14" s="10"/>
      <c r="K14" s="10">
        <v>26</v>
      </c>
      <c r="L14" s="10"/>
      <c r="M14" s="10">
        <v>31</v>
      </c>
      <c r="N14" s="10"/>
      <c r="O14" s="10">
        <v>31</v>
      </c>
      <c r="P14" s="10"/>
      <c r="Q14" s="10">
        <v>35</v>
      </c>
      <c r="R14" s="10"/>
      <c r="S14" s="10">
        <v>38</v>
      </c>
      <c r="T14" s="10"/>
      <c r="U14" s="21">
        <f>(O14+Q14+S14)/3</f>
        <v>34.666666666666664</v>
      </c>
      <c r="V14" s="25"/>
      <c r="W14" s="25" t="s">
        <v>110</v>
      </c>
      <c r="X14" s="25"/>
      <c r="Y14" s="26"/>
      <c r="Z14" s="22" t="s">
        <v>110</v>
      </c>
      <c r="AA14" s="10"/>
      <c r="AB14" s="10"/>
      <c r="AC14" s="10"/>
      <c r="AD14" s="10"/>
      <c r="AE14" s="10"/>
      <c r="AF14" s="23" t="s">
        <v>110</v>
      </c>
      <c r="AG14" s="10"/>
      <c r="AH14" s="10"/>
      <c r="AI14" s="36"/>
    </row>
    <row r="15" spans="1:36" x14ac:dyDescent="0.25">
      <c r="A15" s="9" t="s">
        <v>57</v>
      </c>
      <c r="B15" s="10" t="s">
        <v>102</v>
      </c>
      <c r="C15" s="10" t="s">
        <v>161</v>
      </c>
      <c r="D15" s="10"/>
      <c r="E15" s="10" t="s">
        <v>110</v>
      </c>
      <c r="F15" s="10">
        <v>25</v>
      </c>
      <c r="G15" s="10"/>
      <c r="H15" s="10">
        <v>30</v>
      </c>
      <c r="I15" s="10"/>
      <c r="J15" s="10">
        <v>26</v>
      </c>
      <c r="K15" s="10"/>
      <c r="L15" s="10">
        <v>24</v>
      </c>
      <c r="M15" s="10"/>
      <c r="N15" s="10">
        <f>22+7</f>
        <v>29</v>
      </c>
      <c r="O15" s="10"/>
      <c r="P15" s="10">
        <v>31</v>
      </c>
      <c r="Q15" s="10"/>
      <c r="R15" s="10">
        <v>46</v>
      </c>
      <c r="S15" s="10"/>
      <c r="T15" s="10">
        <f>31+14</f>
        <v>45</v>
      </c>
      <c r="U15" s="21">
        <f>(P15+R15+T15)/3</f>
        <v>40.666666666666664</v>
      </c>
      <c r="V15" s="25"/>
      <c r="W15" s="25" t="s">
        <v>110</v>
      </c>
      <c r="X15" s="23" t="s">
        <v>110</v>
      </c>
      <c r="Y15" s="26"/>
      <c r="Z15" s="22" t="s">
        <v>110</v>
      </c>
      <c r="AA15" s="10"/>
      <c r="AB15" s="10"/>
      <c r="AC15" s="10"/>
      <c r="AD15" s="10"/>
      <c r="AE15" s="10"/>
      <c r="AF15" s="23" t="s">
        <v>110</v>
      </c>
      <c r="AG15" s="10"/>
      <c r="AH15" s="10"/>
      <c r="AI15" s="36"/>
    </row>
    <row r="16" spans="1:36" x14ac:dyDescent="0.25">
      <c r="A16" s="9" t="s">
        <v>61</v>
      </c>
      <c r="B16" s="10" t="s">
        <v>108</v>
      </c>
      <c r="C16" s="5" t="s">
        <v>161</v>
      </c>
      <c r="D16" s="10" t="s">
        <v>110</v>
      </c>
      <c r="E16" s="10"/>
      <c r="F16" s="10"/>
      <c r="G16" s="10"/>
      <c r="H16" s="10"/>
      <c r="I16" s="10"/>
      <c r="J16" s="10"/>
      <c r="K16" s="10">
        <v>30</v>
      </c>
      <c r="L16" s="10"/>
      <c r="M16" s="10">
        <v>37</v>
      </c>
      <c r="N16" s="10"/>
      <c r="O16" s="10">
        <v>35</v>
      </c>
      <c r="P16" s="10"/>
      <c r="Q16" s="10">
        <v>47</v>
      </c>
      <c r="R16" s="10"/>
      <c r="S16" s="10">
        <v>41</v>
      </c>
      <c r="T16" s="10"/>
      <c r="U16" s="21">
        <f>(O16+Q16+S16)/3</f>
        <v>41</v>
      </c>
      <c r="V16" s="25"/>
      <c r="W16" s="25" t="s">
        <v>110</v>
      </c>
      <c r="X16" s="25"/>
      <c r="Y16" s="26"/>
      <c r="Z16" s="22" t="s">
        <v>110</v>
      </c>
      <c r="AA16" s="10"/>
      <c r="AB16" s="10"/>
      <c r="AC16" s="10"/>
      <c r="AD16" s="10"/>
      <c r="AE16" s="10"/>
      <c r="AF16" s="10"/>
      <c r="AG16" s="10"/>
      <c r="AH16" s="10"/>
      <c r="AI16" s="36"/>
    </row>
    <row r="17" spans="1:35" x14ac:dyDescent="0.25">
      <c r="A17" s="9" t="s">
        <v>173</v>
      </c>
      <c r="B17" s="10" t="s">
        <v>18</v>
      </c>
      <c r="C17" s="10" t="s">
        <v>19</v>
      </c>
      <c r="D17" s="10" t="s">
        <v>110</v>
      </c>
      <c r="E17" s="10" t="s">
        <v>110</v>
      </c>
      <c r="F17" s="10">
        <v>23</v>
      </c>
      <c r="G17" s="10">
        <v>24</v>
      </c>
      <c r="H17" s="10">
        <v>23</v>
      </c>
      <c r="I17" s="10">
        <v>30</v>
      </c>
      <c r="J17" s="10">
        <v>24</v>
      </c>
      <c r="K17" s="10">
        <v>37</v>
      </c>
      <c r="L17" s="10">
        <v>35</v>
      </c>
      <c r="M17" s="10">
        <f>13+15</f>
        <v>28</v>
      </c>
      <c r="N17" s="10">
        <f>41+21</f>
        <v>62</v>
      </c>
      <c r="O17" s="10">
        <f>32+22</f>
        <v>54</v>
      </c>
      <c r="P17" s="10">
        <v>60</v>
      </c>
      <c r="Q17" s="10">
        <v>54</v>
      </c>
      <c r="R17" s="10">
        <v>63</v>
      </c>
      <c r="S17" s="10">
        <f>29+19</f>
        <v>48</v>
      </c>
      <c r="T17" s="10">
        <f>31+25</f>
        <v>56</v>
      </c>
      <c r="U17" s="21">
        <f>(R17+S17+T17)/3</f>
        <v>55.666666666666664</v>
      </c>
      <c r="V17" s="25"/>
      <c r="W17" s="25" t="s">
        <v>110</v>
      </c>
      <c r="X17" s="23" t="s">
        <v>110</v>
      </c>
      <c r="Y17" s="26"/>
      <c r="Z17" s="22"/>
      <c r="AA17" s="23" t="s">
        <v>110</v>
      </c>
      <c r="AB17" s="10"/>
      <c r="AC17" s="10"/>
      <c r="AD17" s="22" t="s">
        <v>110</v>
      </c>
      <c r="AE17" s="22" t="s">
        <v>110</v>
      </c>
      <c r="AF17" s="10"/>
      <c r="AG17" s="10"/>
      <c r="AH17" s="23" t="s">
        <v>110</v>
      </c>
      <c r="AI17" s="36"/>
    </row>
    <row r="18" spans="1:35" x14ac:dyDescent="0.25">
      <c r="A18" s="9" t="s">
        <v>103</v>
      </c>
      <c r="B18" s="10" t="s">
        <v>132</v>
      </c>
      <c r="C18" s="10" t="s">
        <v>112</v>
      </c>
      <c r="D18" s="10" t="s">
        <v>110</v>
      </c>
      <c r="E18" s="10"/>
      <c r="F18" s="10"/>
      <c r="G18" s="10"/>
      <c r="H18" s="10"/>
      <c r="I18" s="10"/>
      <c r="J18" s="10">
        <v>11</v>
      </c>
      <c r="K18" s="10"/>
      <c r="L18" s="10">
        <v>10</v>
      </c>
      <c r="M18" s="10"/>
      <c r="N18" s="10">
        <v>8</v>
      </c>
      <c r="O18" s="10"/>
      <c r="P18" s="10"/>
      <c r="Q18" s="10">
        <v>0</v>
      </c>
      <c r="R18" s="10"/>
      <c r="S18" s="10">
        <v>0</v>
      </c>
      <c r="T18" s="10"/>
      <c r="U18" s="27">
        <f>S18</f>
        <v>0</v>
      </c>
      <c r="V18" s="25" t="s">
        <v>143</v>
      </c>
      <c r="W18" s="25" t="s">
        <v>110</v>
      </c>
      <c r="X18" s="25"/>
      <c r="Y18" s="26" t="s">
        <v>110</v>
      </c>
      <c r="Z18" s="28"/>
      <c r="AA18" s="10"/>
      <c r="AB18" s="10"/>
      <c r="AC18" s="10"/>
      <c r="AD18" s="10"/>
      <c r="AE18" s="10"/>
      <c r="AF18" s="10"/>
      <c r="AG18" s="22" t="s">
        <v>110</v>
      </c>
      <c r="AH18" s="10"/>
      <c r="AI18" s="36"/>
    </row>
    <row r="19" spans="1:35" x14ac:dyDescent="0.25">
      <c r="A19" s="9" t="s">
        <v>145</v>
      </c>
      <c r="B19" s="10" t="s">
        <v>56</v>
      </c>
      <c r="C19" s="10" t="s">
        <v>16</v>
      </c>
      <c r="D19" s="10"/>
      <c r="E19" s="10" t="s">
        <v>110</v>
      </c>
      <c r="F19" s="10">
        <v>36</v>
      </c>
      <c r="G19" s="10"/>
      <c r="H19" s="10">
        <v>36</v>
      </c>
      <c r="I19" s="10"/>
      <c r="J19" s="10">
        <v>29</v>
      </c>
      <c r="K19" s="10"/>
      <c r="L19" s="10">
        <v>53</v>
      </c>
      <c r="M19" s="10"/>
      <c r="N19" s="10">
        <f>26+40</f>
        <v>66</v>
      </c>
      <c r="O19" s="10"/>
      <c r="P19" s="10">
        <v>67</v>
      </c>
      <c r="Q19" s="10"/>
      <c r="R19" s="10">
        <v>74</v>
      </c>
      <c r="S19" s="10"/>
      <c r="T19" s="10">
        <f>33+14</f>
        <v>47</v>
      </c>
      <c r="U19" s="21">
        <f>(P19+R19+T19)/3</f>
        <v>62.666666666666664</v>
      </c>
      <c r="V19" s="25"/>
      <c r="W19" s="25" t="s">
        <v>110</v>
      </c>
      <c r="X19" s="23" t="s">
        <v>110</v>
      </c>
      <c r="Y19" s="26"/>
      <c r="Z19" s="22"/>
      <c r="AA19" s="10"/>
      <c r="AB19" s="10"/>
      <c r="AC19" s="10"/>
      <c r="AD19" s="23" t="s">
        <v>110</v>
      </c>
      <c r="AE19" s="22" t="s">
        <v>110</v>
      </c>
      <c r="AF19" s="22" t="s">
        <v>110</v>
      </c>
      <c r="AG19" s="10"/>
      <c r="AH19" s="23" t="s">
        <v>110</v>
      </c>
      <c r="AI19" s="36"/>
    </row>
    <row r="20" spans="1:35" x14ac:dyDescent="0.25">
      <c r="A20" s="9" t="s">
        <v>54</v>
      </c>
      <c r="B20" s="10" t="s">
        <v>60</v>
      </c>
      <c r="C20" s="10" t="s">
        <v>183</v>
      </c>
      <c r="D20" s="10" t="s">
        <v>110</v>
      </c>
      <c r="E20" s="10"/>
      <c r="F20" s="10"/>
      <c r="G20" s="10">
        <v>21</v>
      </c>
      <c r="H20" s="10"/>
      <c r="I20" s="10">
        <v>25</v>
      </c>
      <c r="J20" s="10"/>
      <c r="K20" s="10">
        <v>27</v>
      </c>
      <c r="L20" s="10"/>
      <c r="M20" s="10">
        <f>21+14</f>
        <v>35</v>
      </c>
      <c r="N20" s="10"/>
      <c r="O20" s="10">
        <f>24+27</f>
        <v>51</v>
      </c>
      <c r="P20" s="10"/>
      <c r="Q20" s="10">
        <v>45</v>
      </c>
      <c r="R20" s="10"/>
      <c r="S20" s="10">
        <f>20+17</f>
        <v>37</v>
      </c>
      <c r="T20" s="10"/>
      <c r="U20" s="21">
        <f>(O20+Q20+S20)/3</f>
        <v>44.333333333333336</v>
      </c>
      <c r="V20" s="25"/>
      <c r="W20" s="25" t="s">
        <v>110</v>
      </c>
      <c r="X20" s="23" t="s">
        <v>110</v>
      </c>
      <c r="Y20" s="26"/>
      <c r="Z20" s="22"/>
      <c r="AA20" s="23" t="s">
        <v>110</v>
      </c>
      <c r="AB20" s="23" t="s">
        <v>110</v>
      </c>
      <c r="AC20" s="10"/>
      <c r="AD20" s="10"/>
      <c r="AE20" s="22" t="s">
        <v>110</v>
      </c>
      <c r="AF20" s="22" t="s">
        <v>110</v>
      </c>
      <c r="AG20" s="10"/>
      <c r="AH20" s="23" t="s">
        <v>110</v>
      </c>
      <c r="AI20" s="37" t="s">
        <v>110</v>
      </c>
    </row>
    <row r="21" spans="1:35" x14ac:dyDescent="0.25">
      <c r="A21" s="9" t="s">
        <v>100</v>
      </c>
      <c r="B21" s="10" t="s">
        <v>216</v>
      </c>
      <c r="C21" s="10" t="s">
        <v>224</v>
      </c>
      <c r="D21" s="10" t="s">
        <v>110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>
        <v>7</v>
      </c>
      <c r="P21" s="10"/>
      <c r="Q21" s="10">
        <v>12</v>
      </c>
      <c r="R21" s="10"/>
      <c r="S21" s="10">
        <v>13</v>
      </c>
      <c r="T21" s="10"/>
      <c r="U21" s="20">
        <f>(O21+Q21+S21)/3</f>
        <v>10.666666666666666</v>
      </c>
      <c r="V21" s="25"/>
      <c r="W21" s="25" t="s">
        <v>110</v>
      </c>
      <c r="X21" s="23" t="s">
        <v>110</v>
      </c>
      <c r="Y21" s="26" t="s">
        <v>110</v>
      </c>
      <c r="Z21" s="28"/>
      <c r="AA21" s="10"/>
      <c r="AB21" s="22" t="s">
        <v>110</v>
      </c>
      <c r="AC21" s="10"/>
      <c r="AD21" s="10"/>
      <c r="AE21" s="22" t="s">
        <v>110</v>
      </c>
      <c r="AF21" s="10"/>
      <c r="AG21" s="10"/>
      <c r="AH21" s="10"/>
      <c r="AI21" s="36"/>
    </row>
    <row r="22" spans="1:35" x14ac:dyDescent="0.25">
      <c r="A22" s="9" t="s">
        <v>170</v>
      </c>
      <c r="B22" s="10" t="s">
        <v>167</v>
      </c>
      <c r="C22" s="10" t="s">
        <v>168</v>
      </c>
      <c r="D22" s="10"/>
      <c r="E22" s="10" t="s">
        <v>110</v>
      </c>
      <c r="F22" s="10"/>
      <c r="G22" s="10"/>
      <c r="H22" s="10"/>
      <c r="I22" s="10"/>
      <c r="J22" s="10"/>
      <c r="K22" s="10"/>
      <c r="L22" s="10"/>
      <c r="M22" s="10"/>
      <c r="N22" s="10">
        <v>36</v>
      </c>
      <c r="O22" s="10"/>
      <c r="P22" s="10">
        <v>33</v>
      </c>
      <c r="Q22" s="10"/>
      <c r="R22" s="10">
        <v>39</v>
      </c>
      <c r="S22" s="10"/>
      <c r="T22" s="10">
        <v>34</v>
      </c>
      <c r="U22" s="21">
        <f>(P22+R22+T22)/3</f>
        <v>35.333333333333336</v>
      </c>
      <c r="V22" s="25"/>
      <c r="W22" s="25"/>
      <c r="X22" s="25"/>
      <c r="Y22" s="26"/>
      <c r="Z22" s="28"/>
      <c r="AA22" s="10"/>
      <c r="AB22" s="10"/>
      <c r="AC22" s="10"/>
      <c r="AD22" s="10"/>
      <c r="AE22" s="10"/>
      <c r="AF22" s="10"/>
      <c r="AG22" s="10"/>
      <c r="AH22" s="10"/>
      <c r="AI22" s="36"/>
    </row>
    <row r="23" spans="1:35" x14ac:dyDescent="0.25">
      <c r="A23" s="9" t="s">
        <v>169</v>
      </c>
      <c r="B23" s="10" t="s">
        <v>241</v>
      </c>
      <c r="C23" s="10"/>
      <c r="D23" s="10"/>
      <c r="E23" s="10" t="s">
        <v>110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21"/>
      <c r="V23" s="25"/>
      <c r="W23" s="25"/>
      <c r="X23" s="25"/>
      <c r="Y23" s="26"/>
      <c r="Z23" s="28"/>
      <c r="AA23" s="10"/>
      <c r="AB23" s="10"/>
      <c r="AC23" s="10"/>
      <c r="AD23" s="10"/>
      <c r="AE23" s="10"/>
      <c r="AF23" s="10"/>
      <c r="AG23" s="10"/>
      <c r="AH23" s="10"/>
      <c r="AI23" s="36"/>
    </row>
    <row r="24" spans="1:35" x14ac:dyDescent="0.25">
      <c r="A24" s="11" t="s">
        <v>78</v>
      </c>
      <c r="B24" s="10" t="s">
        <v>20</v>
      </c>
      <c r="C24" s="10" t="s">
        <v>21</v>
      </c>
      <c r="D24" s="10" t="s">
        <v>110</v>
      </c>
      <c r="E24" s="10"/>
      <c r="F24" s="10"/>
      <c r="G24" s="10">
        <v>35</v>
      </c>
      <c r="H24" s="10"/>
      <c r="I24" s="10">
        <v>61</v>
      </c>
      <c r="J24" s="10"/>
      <c r="K24" s="10">
        <v>61</v>
      </c>
      <c r="L24" s="10"/>
      <c r="M24" s="10">
        <f>65+11</f>
        <v>76</v>
      </c>
      <c r="N24" s="10"/>
      <c r="O24" s="10">
        <v>51</v>
      </c>
      <c r="P24" s="10"/>
      <c r="Q24" s="10">
        <v>46</v>
      </c>
      <c r="R24" s="10"/>
      <c r="S24" s="10">
        <v>63</v>
      </c>
      <c r="T24" s="10"/>
      <c r="U24" s="21">
        <f>(O24+Q24+S24)/3</f>
        <v>53.333333333333336</v>
      </c>
      <c r="V24" s="25"/>
      <c r="W24" s="25" t="s">
        <v>110</v>
      </c>
      <c r="X24" s="25"/>
      <c r="Y24" s="26"/>
      <c r="Z24" s="28"/>
      <c r="AA24" s="23" t="s">
        <v>110</v>
      </c>
      <c r="AB24" s="10"/>
      <c r="AC24" s="10"/>
      <c r="AD24" s="10"/>
      <c r="AE24" s="10"/>
      <c r="AF24" s="10"/>
      <c r="AG24" s="10"/>
      <c r="AH24" s="23" t="s">
        <v>110</v>
      </c>
      <c r="AI24" s="37" t="s">
        <v>110</v>
      </c>
    </row>
    <row r="25" spans="1:35" x14ac:dyDescent="0.25">
      <c r="A25" s="11"/>
      <c r="B25" s="10" t="s">
        <v>77</v>
      </c>
      <c r="C25" s="10" t="s">
        <v>204</v>
      </c>
      <c r="D25" s="10"/>
      <c r="E25" s="10" t="s">
        <v>110</v>
      </c>
      <c r="F25" s="10">
        <v>44</v>
      </c>
      <c r="G25" s="10"/>
      <c r="H25" s="10">
        <v>18</v>
      </c>
      <c r="I25" s="10"/>
      <c r="J25" s="10">
        <v>5</v>
      </c>
      <c r="K25" s="10"/>
      <c r="L25" s="10">
        <v>8</v>
      </c>
      <c r="M25" s="10"/>
      <c r="N25" s="10">
        <v>5</v>
      </c>
      <c r="O25" s="10"/>
      <c r="P25" s="10">
        <v>6</v>
      </c>
      <c r="Q25" s="10"/>
      <c r="R25" s="10">
        <v>7</v>
      </c>
      <c r="S25" s="10"/>
      <c r="T25" s="10">
        <v>9</v>
      </c>
      <c r="U25" s="21">
        <f>(P25+R25+T25)/3</f>
        <v>7.333333333333333</v>
      </c>
      <c r="V25" s="25" t="s">
        <v>154</v>
      </c>
      <c r="W25" s="25"/>
      <c r="X25" s="25"/>
      <c r="Y25" s="26"/>
      <c r="Z25" s="28"/>
      <c r="AA25" s="10"/>
      <c r="AB25" s="10"/>
      <c r="AC25" s="10"/>
      <c r="AD25" s="10"/>
      <c r="AE25" s="10"/>
      <c r="AF25" s="10"/>
      <c r="AG25" s="10"/>
      <c r="AH25" s="10"/>
      <c r="AI25" s="36"/>
    </row>
    <row r="26" spans="1:35" x14ac:dyDescent="0.25">
      <c r="A26" s="9" t="s">
        <v>66</v>
      </c>
      <c r="B26" s="10" t="s">
        <v>22</v>
      </c>
      <c r="C26" s="10" t="s">
        <v>200</v>
      </c>
      <c r="D26" s="10"/>
      <c r="E26" s="10" t="s">
        <v>110</v>
      </c>
      <c r="F26" s="10">
        <v>84</v>
      </c>
      <c r="G26" s="10"/>
      <c r="H26" s="10">
        <v>101</v>
      </c>
      <c r="I26" s="10"/>
      <c r="J26" s="13">
        <v>134</v>
      </c>
      <c r="K26" s="10"/>
      <c r="L26" s="13">
        <v>132</v>
      </c>
      <c r="M26" s="14"/>
      <c r="N26" s="13">
        <v>194</v>
      </c>
      <c r="O26" s="14"/>
      <c r="P26" s="13">
        <v>216</v>
      </c>
      <c r="Q26" s="14"/>
      <c r="R26" s="13">
        <v>162</v>
      </c>
      <c r="S26" s="13"/>
      <c r="T26" s="13">
        <f>49+81</f>
        <v>130</v>
      </c>
      <c r="U26" s="21">
        <f>(P26+R26+T26)/3</f>
        <v>169.33333333333334</v>
      </c>
      <c r="V26" s="25"/>
      <c r="W26" s="25" t="s">
        <v>110</v>
      </c>
      <c r="X26" s="25"/>
      <c r="Y26" s="26"/>
      <c r="Z26" s="28"/>
      <c r="AA26" s="10"/>
      <c r="AB26" s="10"/>
      <c r="AC26" s="10"/>
      <c r="AD26" s="10"/>
      <c r="AE26" s="10"/>
      <c r="AF26" s="10"/>
      <c r="AG26" s="10"/>
      <c r="AH26" s="10"/>
      <c r="AI26" s="38" t="s">
        <v>110</v>
      </c>
    </row>
    <row r="27" spans="1:35" x14ac:dyDescent="0.25">
      <c r="A27" s="11" t="s">
        <v>160</v>
      </c>
      <c r="B27" s="5" t="s">
        <v>171</v>
      </c>
      <c r="C27" s="5" t="s">
        <v>172</v>
      </c>
      <c r="D27" s="5"/>
      <c r="E27" s="5" t="s">
        <v>110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>
        <v>44</v>
      </c>
      <c r="S27" s="10"/>
      <c r="T27" s="10"/>
      <c r="U27" s="20">
        <f>R27</f>
        <v>44</v>
      </c>
      <c r="V27" s="25"/>
      <c r="W27" s="25" t="s">
        <v>110</v>
      </c>
      <c r="X27" s="23" t="s">
        <v>110</v>
      </c>
      <c r="Y27" s="26" t="s">
        <v>110</v>
      </c>
      <c r="Z27" s="28"/>
      <c r="AA27" s="10"/>
      <c r="AB27" s="10"/>
      <c r="AC27" s="22" t="s">
        <v>110</v>
      </c>
      <c r="AD27" s="10"/>
      <c r="AE27" s="10"/>
      <c r="AF27" s="10"/>
      <c r="AG27" s="10"/>
      <c r="AH27" s="10"/>
      <c r="AI27" s="36"/>
    </row>
    <row r="28" spans="1:35" x14ac:dyDescent="0.25">
      <c r="A28" s="9" t="s">
        <v>105</v>
      </c>
      <c r="B28" s="10" t="s">
        <v>215</v>
      </c>
      <c r="C28" s="10" t="s">
        <v>122</v>
      </c>
      <c r="D28" s="10" t="s">
        <v>110</v>
      </c>
      <c r="E28" s="10" t="s">
        <v>110</v>
      </c>
      <c r="F28" s="10"/>
      <c r="G28" s="10"/>
      <c r="H28" s="10"/>
      <c r="I28" s="10"/>
      <c r="J28" s="10"/>
      <c r="K28" s="10">
        <v>12</v>
      </c>
      <c r="L28" s="10"/>
      <c r="M28" s="10">
        <v>11</v>
      </c>
      <c r="N28" s="10">
        <v>27</v>
      </c>
      <c r="O28" s="10">
        <v>25</v>
      </c>
      <c r="P28" s="10">
        <v>28</v>
      </c>
      <c r="Q28" s="10">
        <v>21</v>
      </c>
      <c r="R28" s="10">
        <v>18</v>
      </c>
      <c r="S28" s="10">
        <v>19</v>
      </c>
      <c r="T28" s="10">
        <v>30</v>
      </c>
      <c r="U28" s="29">
        <f>(R28+S28+T28)/3</f>
        <v>22.333333333333332</v>
      </c>
      <c r="V28" s="25"/>
      <c r="W28" s="25"/>
      <c r="X28" s="25"/>
      <c r="Y28" s="26"/>
      <c r="Z28" s="28"/>
      <c r="AA28" s="10"/>
      <c r="AB28" s="10"/>
      <c r="AC28" s="10"/>
      <c r="AD28" s="10"/>
      <c r="AE28" s="10"/>
      <c r="AF28" s="10"/>
      <c r="AG28" s="10"/>
      <c r="AH28" s="10"/>
      <c r="AI28" s="36"/>
    </row>
    <row r="29" spans="1:35" x14ac:dyDescent="0.25">
      <c r="A29" s="9" t="s">
        <v>52</v>
      </c>
      <c r="B29" s="10" t="s">
        <v>106</v>
      </c>
      <c r="C29" s="5" t="s">
        <v>122</v>
      </c>
      <c r="D29" s="10"/>
      <c r="E29" s="10" t="s">
        <v>110</v>
      </c>
      <c r="F29" s="10"/>
      <c r="G29" s="10"/>
      <c r="H29" s="10"/>
      <c r="I29" s="10"/>
      <c r="J29" s="10">
        <v>21</v>
      </c>
      <c r="K29" s="10"/>
      <c r="L29" s="10">
        <v>34</v>
      </c>
      <c r="M29" s="10"/>
      <c r="N29" s="10">
        <v>39</v>
      </c>
      <c r="O29" s="10"/>
      <c r="P29" s="10">
        <v>42</v>
      </c>
      <c r="Q29" s="10"/>
      <c r="R29" s="10">
        <v>58</v>
      </c>
      <c r="S29" s="10"/>
      <c r="T29" s="10">
        <v>34</v>
      </c>
      <c r="U29" s="21">
        <f>(P29+R29+T29)/3</f>
        <v>44.666666666666664</v>
      </c>
      <c r="V29" s="25"/>
      <c r="W29" s="25" t="s">
        <v>110</v>
      </c>
      <c r="X29" s="23" t="s">
        <v>110</v>
      </c>
      <c r="Y29" s="26"/>
      <c r="Z29" s="28" t="s">
        <v>110</v>
      </c>
      <c r="AA29" s="10"/>
      <c r="AB29" s="10"/>
      <c r="AC29" s="10"/>
      <c r="AD29" s="23" t="s">
        <v>110</v>
      </c>
      <c r="AE29" s="10"/>
      <c r="AF29" s="22" t="s">
        <v>110</v>
      </c>
      <c r="AG29" s="10"/>
      <c r="AH29" s="10"/>
      <c r="AI29" s="36"/>
    </row>
    <row r="30" spans="1:35" ht="30" x14ac:dyDescent="0.25">
      <c r="A30" s="9" t="s">
        <v>98</v>
      </c>
      <c r="B30" s="10" t="s">
        <v>34</v>
      </c>
      <c r="C30" s="10" t="s">
        <v>24</v>
      </c>
      <c r="D30" s="10"/>
      <c r="E30" s="10" t="s">
        <v>110</v>
      </c>
      <c r="F30" s="10">
        <v>6</v>
      </c>
      <c r="G30" s="10"/>
      <c r="H30" s="10">
        <v>11</v>
      </c>
      <c r="I30" s="10"/>
      <c r="J30" s="10">
        <v>9</v>
      </c>
      <c r="K30" s="10"/>
      <c r="L30" s="10">
        <v>28</v>
      </c>
      <c r="M30" s="10"/>
      <c r="N30" s="10">
        <f>34+7</f>
        <v>41</v>
      </c>
      <c r="O30" s="10"/>
      <c r="P30" s="10">
        <v>56</v>
      </c>
      <c r="Q30" s="10"/>
      <c r="R30" s="10">
        <v>42</v>
      </c>
      <c r="S30" s="10"/>
      <c r="T30" s="10">
        <f>38+11</f>
        <v>49</v>
      </c>
      <c r="U30" s="21">
        <f>(P30+R30+T30)/3</f>
        <v>49</v>
      </c>
      <c r="V30" s="25" t="s">
        <v>144</v>
      </c>
      <c r="W30" s="25" t="s">
        <v>110</v>
      </c>
      <c r="X30" s="25"/>
      <c r="Y30" s="26"/>
      <c r="Z30" s="28"/>
      <c r="AA30" s="10"/>
      <c r="AB30" s="10"/>
      <c r="AC30" s="10"/>
      <c r="AD30" s="22" t="s">
        <v>110</v>
      </c>
      <c r="AE30" s="10"/>
      <c r="AF30" s="23" t="s">
        <v>110</v>
      </c>
      <c r="AG30" s="10"/>
      <c r="AH30" s="23" t="s">
        <v>110</v>
      </c>
      <c r="AI30" s="36"/>
    </row>
    <row r="31" spans="1:35" x14ac:dyDescent="0.25">
      <c r="A31" s="9" t="s">
        <v>67</v>
      </c>
      <c r="B31" s="10" t="s">
        <v>91</v>
      </c>
      <c r="C31" s="10" t="s">
        <v>116</v>
      </c>
      <c r="D31" s="10" t="s">
        <v>110</v>
      </c>
      <c r="E31" s="10"/>
      <c r="F31" s="10"/>
      <c r="G31" s="10"/>
      <c r="H31" s="10"/>
      <c r="I31" s="10">
        <v>18</v>
      </c>
      <c r="J31" s="10"/>
      <c r="K31" s="10">
        <v>31</v>
      </c>
      <c r="L31" s="10"/>
      <c r="M31" s="10">
        <v>28</v>
      </c>
      <c r="N31" s="10"/>
      <c r="O31" s="10">
        <v>24</v>
      </c>
      <c r="P31" s="10"/>
      <c r="Q31" s="10">
        <v>25</v>
      </c>
      <c r="R31" s="10"/>
      <c r="S31" s="10">
        <v>20</v>
      </c>
      <c r="T31" s="10"/>
      <c r="U31" s="21">
        <f>(O31+Q31+S31)/3</f>
        <v>23</v>
      </c>
      <c r="V31" s="25"/>
      <c r="W31" s="25" t="s">
        <v>110</v>
      </c>
      <c r="X31" s="23" t="s">
        <v>110</v>
      </c>
      <c r="Y31" s="26" t="s">
        <v>110</v>
      </c>
      <c r="Z31" s="28"/>
      <c r="AA31" s="23" t="s">
        <v>110</v>
      </c>
      <c r="AB31" s="10"/>
      <c r="AC31" s="10"/>
      <c r="AD31" s="10"/>
      <c r="AE31" s="10"/>
      <c r="AF31" s="10"/>
      <c r="AG31" s="22" t="s">
        <v>110</v>
      </c>
      <c r="AH31" s="10"/>
      <c r="AI31" s="36"/>
    </row>
    <row r="32" spans="1:35" x14ac:dyDescent="0.25">
      <c r="A32" s="9" t="s">
        <v>86</v>
      </c>
      <c r="B32" s="10" t="s">
        <v>99</v>
      </c>
      <c r="C32" s="5" t="s">
        <v>24</v>
      </c>
      <c r="D32" s="10"/>
      <c r="E32" s="10" t="s">
        <v>110</v>
      </c>
      <c r="F32" s="10"/>
      <c r="G32" s="10"/>
      <c r="H32" s="10"/>
      <c r="I32" s="10"/>
      <c r="J32" s="10">
        <v>10</v>
      </c>
      <c r="K32" s="10"/>
      <c r="L32" s="10">
        <v>12</v>
      </c>
      <c r="M32" s="10"/>
      <c r="N32" s="10">
        <v>25</v>
      </c>
      <c r="O32" s="10"/>
      <c r="P32" s="10">
        <v>21</v>
      </c>
      <c r="Q32" s="10"/>
      <c r="R32" s="10">
        <v>22</v>
      </c>
      <c r="S32" s="10"/>
      <c r="T32" s="10">
        <v>21</v>
      </c>
      <c r="U32" s="21">
        <f>(P32+R32+T32)/3</f>
        <v>21.333333333333332</v>
      </c>
      <c r="V32" s="25" t="s">
        <v>143</v>
      </c>
      <c r="W32" s="25" t="s">
        <v>110</v>
      </c>
      <c r="X32" s="23" t="s">
        <v>110</v>
      </c>
      <c r="Y32" s="26" t="s">
        <v>110</v>
      </c>
      <c r="Z32" s="28"/>
      <c r="AA32" s="10"/>
      <c r="AB32" s="10"/>
      <c r="AC32" s="10"/>
      <c r="AD32" s="22" t="s">
        <v>110</v>
      </c>
      <c r="AE32" s="22" t="s">
        <v>110</v>
      </c>
      <c r="AF32" s="10"/>
      <c r="AG32" s="10"/>
      <c r="AH32" s="23" t="s">
        <v>110</v>
      </c>
      <c r="AI32" s="36"/>
    </row>
    <row r="33" spans="1:35" x14ac:dyDescent="0.25">
      <c r="A33" s="9" t="s">
        <v>92</v>
      </c>
      <c r="B33" s="10" t="s">
        <v>23</v>
      </c>
      <c r="C33" s="10" t="s">
        <v>24</v>
      </c>
      <c r="D33" s="10" t="s">
        <v>110</v>
      </c>
      <c r="E33" s="10"/>
      <c r="F33" s="10"/>
      <c r="G33" s="10">
        <v>59</v>
      </c>
      <c r="H33" s="10"/>
      <c r="I33" s="10">
        <v>64</v>
      </c>
      <c r="J33" s="10"/>
      <c r="K33" s="10">
        <v>58</v>
      </c>
      <c r="L33" s="10"/>
      <c r="M33" s="10">
        <f>26+29</f>
        <v>55</v>
      </c>
      <c r="N33" s="10"/>
      <c r="O33" s="10">
        <f>31+46</f>
        <v>77</v>
      </c>
      <c r="P33" s="10"/>
      <c r="Q33" s="10">
        <v>79</v>
      </c>
      <c r="R33" s="10"/>
      <c r="S33" s="10">
        <f>43+15</f>
        <v>58</v>
      </c>
      <c r="T33" s="10"/>
      <c r="U33" s="21">
        <f>(O33+Q33+S33)/3</f>
        <v>71.333333333333329</v>
      </c>
      <c r="V33" s="25"/>
      <c r="W33" s="25" t="s">
        <v>110</v>
      </c>
      <c r="X33" s="23" t="s">
        <v>110</v>
      </c>
      <c r="Y33" s="26"/>
      <c r="Z33" s="28"/>
      <c r="AA33" s="23" t="s">
        <v>110</v>
      </c>
      <c r="AB33" s="10"/>
      <c r="AC33" s="10"/>
      <c r="AD33" s="10"/>
      <c r="AE33" s="22" t="s">
        <v>110</v>
      </c>
      <c r="AF33" s="23" t="s">
        <v>110</v>
      </c>
      <c r="AG33" s="10"/>
      <c r="AH33" s="10"/>
      <c r="AI33" s="36"/>
    </row>
    <row r="34" spans="1:35" x14ac:dyDescent="0.25">
      <c r="A34" s="9" t="s">
        <v>177</v>
      </c>
      <c r="B34" s="10" t="s">
        <v>25</v>
      </c>
      <c r="C34" s="10" t="s">
        <v>26</v>
      </c>
      <c r="D34" s="10" t="s">
        <v>110</v>
      </c>
      <c r="E34" s="10"/>
      <c r="F34" s="10">
        <v>28</v>
      </c>
      <c r="G34" s="10"/>
      <c r="H34" s="10">
        <v>25</v>
      </c>
      <c r="I34" s="10"/>
      <c r="J34" s="10">
        <v>19</v>
      </c>
      <c r="K34" s="10"/>
      <c r="L34" s="10"/>
      <c r="M34" s="10">
        <f>11+17</f>
        <v>28</v>
      </c>
      <c r="N34" s="10"/>
      <c r="O34" s="10">
        <f>9+13</f>
        <v>22</v>
      </c>
      <c r="P34" s="10"/>
      <c r="Q34" s="10">
        <v>29</v>
      </c>
      <c r="R34" s="10"/>
      <c r="S34" s="10">
        <f>14+42</f>
        <v>56</v>
      </c>
      <c r="T34" s="10"/>
      <c r="U34" s="21">
        <f>(O34+Q34+S34)/3</f>
        <v>35.666666666666664</v>
      </c>
      <c r="V34" s="25"/>
      <c r="W34" s="25" t="s">
        <v>110</v>
      </c>
      <c r="X34" s="23" t="s">
        <v>110</v>
      </c>
      <c r="Y34" s="26" t="s">
        <v>110</v>
      </c>
      <c r="Z34" s="28"/>
      <c r="AA34" s="10"/>
      <c r="AB34" s="10"/>
      <c r="AC34" s="10"/>
      <c r="AD34" s="10"/>
      <c r="AE34" s="22" t="s">
        <v>110</v>
      </c>
      <c r="AF34" s="10"/>
      <c r="AG34" s="10"/>
      <c r="AH34" s="10"/>
      <c r="AI34" s="36"/>
    </row>
    <row r="35" spans="1:35" x14ac:dyDescent="0.25">
      <c r="A35" s="11" t="s">
        <v>113</v>
      </c>
      <c r="B35" s="10" t="s">
        <v>27</v>
      </c>
      <c r="C35" s="10" t="s">
        <v>28</v>
      </c>
      <c r="D35" s="10" t="s">
        <v>110</v>
      </c>
      <c r="E35" s="10"/>
      <c r="F35" s="10"/>
      <c r="G35" s="10">
        <v>38</v>
      </c>
      <c r="H35" s="10"/>
      <c r="I35" s="10">
        <v>64</v>
      </c>
      <c r="J35" s="10"/>
      <c r="K35" s="10">
        <v>69</v>
      </c>
      <c r="L35" s="10"/>
      <c r="M35" s="10">
        <v>46</v>
      </c>
      <c r="N35" s="10"/>
      <c r="O35" s="10">
        <v>58</v>
      </c>
      <c r="P35" s="10"/>
      <c r="Q35" s="10">
        <v>43</v>
      </c>
      <c r="R35" s="10"/>
      <c r="S35" s="10">
        <v>49</v>
      </c>
      <c r="T35" s="10"/>
      <c r="U35" s="21">
        <f>(O35+Q35+S35)/3</f>
        <v>50</v>
      </c>
      <c r="V35" s="25"/>
      <c r="W35" s="25" t="s">
        <v>110</v>
      </c>
      <c r="X35" s="23" t="s">
        <v>110</v>
      </c>
      <c r="Y35" s="26" t="s">
        <v>110</v>
      </c>
      <c r="Z35" s="28"/>
      <c r="AA35" s="10"/>
      <c r="AB35" s="10"/>
      <c r="AC35" s="22" t="s">
        <v>110</v>
      </c>
      <c r="AD35" s="10"/>
      <c r="AE35" s="22" t="s">
        <v>110</v>
      </c>
      <c r="AF35" s="10"/>
      <c r="AG35" s="10"/>
      <c r="AH35" s="10"/>
      <c r="AI35" s="36"/>
    </row>
    <row r="36" spans="1:35" x14ac:dyDescent="0.25">
      <c r="A36" s="9" t="s">
        <v>90</v>
      </c>
      <c r="B36" s="10" t="s">
        <v>29</v>
      </c>
      <c r="C36" s="10" t="s">
        <v>116</v>
      </c>
      <c r="D36" s="10"/>
      <c r="E36" s="10" t="s">
        <v>110</v>
      </c>
      <c r="F36" s="10"/>
      <c r="G36" s="10"/>
      <c r="H36" s="10">
        <v>33</v>
      </c>
      <c r="I36" s="10"/>
      <c r="J36" s="10">
        <v>30</v>
      </c>
      <c r="K36" s="10"/>
      <c r="L36" s="10">
        <v>34</v>
      </c>
      <c r="M36" s="10"/>
      <c r="N36" s="10">
        <v>31</v>
      </c>
      <c r="O36" s="10"/>
      <c r="P36" s="10">
        <v>44</v>
      </c>
      <c r="Q36" s="10"/>
      <c r="R36" s="10">
        <v>39</v>
      </c>
      <c r="S36" s="10"/>
      <c r="T36" s="10">
        <v>35</v>
      </c>
      <c r="U36" s="21">
        <f>(P36+R36+T36)/3</f>
        <v>39.333333333333336</v>
      </c>
      <c r="V36" s="25"/>
      <c r="W36" s="25" t="s">
        <v>110</v>
      </c>
      <c r="X36" s="23" t="s">
        <v>110</v>
      </c>
      <c r="Y36" s="26" t="s">
        <v>110</v>
      </c>
      <c r="Z36" s="28"/>
      <c r="AA36" s="23" t="s">
        <v>110</v>
      </c>
      <c r="AB36" s="10"/>
      <c r="AC36" s="22" t="s">
        <v>110</v>
      </c>
      <c r="AD36" s="10"/>
      <c r="AE36" s="10"/>
      <c r="AF36" s="10"/>
      <c r="AG36" s="22" t="s">
        <v>110</v>
      </c>
      <c r="AH36" s="10"/>
      <c r="AI36" s="36"/>
    </row>
    <row r="37" spans="1:35" ht="15" customHeight="1" x14ac:dyDescent="0.25">
      <c r="A37" s="9" t="s">
        <v>150</v>
      </c>
      <c r="B37" s="10" t="s">
        <v>30</v>
      </c>
      <c r="C37" s="10" t="s">
        <v>31</v>
      </c>
      <c r="D37" s="10"/>
      <c r="E37" s="10" t="s">
        <v>110</v>
      </c>
      <c r="F37" s="10">
        <v>49</v>
      </c>
      <c r="G37" s="10"/>
      <c r="H37" s="10">
        <v>37</v>
      </c>
      <c r="I37" s="10"/>
      <c r="J37" s="10">
        <v>49</v>
      </c>
      <c r="K37" s="10"/>
      <c r="L37" s="10">
        <v>52</v>
      </c>
      <c r="M37" s="10"/>
      <c r="N37" s="10">
        <f>10+41</f>
        <v>51</v>
      </c>
      <c r="O37" s="10"/>
      <c r="P37" s="10">
        <v>78</v>
      </c>
      <c r="Q37" s="10"/>
      <c r="R37" s="10">
        <v>79</v>
      </c>
      <c r="S37" s="10"/>
      <c r="T37" s="10">
        <f>30+65</f>
        <v>95</v>
      </c>
      <c r="U37" s="21">
        <f>(P37+R37+T37)/3</f>
        <v>84</v>
      </c>
      <c r="V37" s="25"/>
      <c r="W37" s="25" t="s">
        <v>110</v>
      </c>
      <c r="X37" s="25"/>
      <c r="Y37" s="26"/>
      <c r="Z37" s="28"/>
      <c r="AA37" s="10"/>
      <c r="AB37" s="23" t="s">
        <v>110</v>
      </c>
      <c r="AC37" s="10"/>
      <c r="AD37" s="10"/>
      <c r="AE37" s="22" t="s">
        <v>110</v>
      </c>
      <c r="AF37" s="10"/>
      <c r="AG37" s="10"/>
      <c r="AH37" s="10"/>
      <c r="AI37" s="36"/>
    </row>
    <row r="38" spans="1:35" x14ac:dyDescent="0.25">
      <c r="A38" s="9" t="s">
        <v>71</v>
      </c>
      <c r="B38" s="10" t="s">
        <v>32</v>
      </c>
      <c r="C38" s="10" t="s">
        <v>205</v>
      </c>
      <c r="D38" s="10"/>
      <c r="E38" s="10" t="s">
        <v>110</v>
      </c>
      <c r="F38" s="10">
        <v>92</v>
      </c>
      <c r="G38" s="10"/>
      <c r="H38" s="10">
        <v>51</v>
      </c>
      <c r="I38" s="10"/>
      <c r="J38" s="10">
        <v>79</v>
      </c>
      <c r="K38" s="10"/>
      <c r="L38" s="10">
        <v>71</v>
      </c>
      <c r="M38" s="10"/>
      <c r="N38" s="10">
        <f>37+26</f>
        <v>63</v>
      </c>
      <c r="O38" s="10"/>
      <c r="P38" s="10">
        <v>71</v>
      </c>
      <c r="Q38" s="10"/>
      <c r="R38" s="10">
        <v>107</v>
      </c>
      <c r="S38" s="10"/>
      <c r="T38" s="10">
        <f>65+52</f>
        <v>117</v>
      </c>
      <c r="U38" s="21">
        <f>(P38+R38+T38)/3</f>
        <v>98.333333333333329</v>
      </c>
      <c r="V38" s="25"/>
      <c r="W38" s="25" t="s">
        <v>110</v>
      </c>
      <c r="X38" s="23" t="s">
        <v>110</v>
      </c>
      <c r="Y38" s="26" t="s">
        <v>110</v>
      </c>
      <c r="Z38" s="28"/>
      <c r="AA38" s="10"/>
      <c r="AB38" s="10"/>
      <c r="AC38" s="22" t="s">
        <v>110</v>
      </c>
      <c r="AD38" s="10"/>
      <c r="AE38" s="10"/>
      <c r="AF38" s="10"/>
      <c r="AG38" s="10"/>
      <c r="AH38" s="10"/>
      <c r="AI38" s="36"/>
    </row>
    <row r="39" spans="1:35" x14ac:dyDescent="0.25">
      <c r="A39" s="9" t="s">
        <v>72</v>
      </c>
      <c r="B39" s="5" t="s">
        <v>114</v>
      </c>
      <c r="C39" s="10" t="s">
        <v>118</v>
      </c>
      <c r="D39" s="10" t="s">
        <v>110</v>
      </c>
      <c r="E39" s="10"/>
      <c r="F39" s="10"/>
      <c r="G39" s="10"/>
      <c r="H39" s="10"/>
      <c r="I39" s="10"/>
      <c r="J39" s="10"/>
      <c r="K39" s="10">
        <v>26</v>
      </c>
      <c r="L39" s="10"/>
      <c r="M39" s="10">
        <v>28</v>
      </c>
      <c r="N39" s="10"/>
      <c r="O39" s="10">
        <v>26</v>
      </c>
      <c r="P39" s="10"/>
      <c r="Q39" s="10">
        <v>28</v>
      </c>
      <c r="R39" s="10"/>
      <c r="S39" s="10">
        <v>32</v>
      </c>
      <c r="T39" s="10"/>
      <c r="U39" s="21">
        <f>(O39+Q39+S39)/3</f>
        <v>28.666666666666668</v>
      </c>
      <c r="V39" s="25"/>
      <c r="W39" s="25" t="s">
        <v>110</v>
      </c>
      <c r="X39" s="23" t="s">
        <v>110</v>
      </c>
      <c r="Y39" s="26" t="s">
        <v>110</v>
      </c>
      <c r="Z39" s="28"/>
      <c r="AA39" s="23" t="s">
        <v>110</v>
      </c>
      <c r="AB39" s="10"/>
      <c r="AC39" s="10"/>
      <c r="AD39" s="22" t="s">
        <v>110</v>
      </c>
      <c r="AE39" s="10"/>
      <c r="AF39" s="10"/>
      <c r="AG39" s="23" t="s">
        <v>110</v>
      </c>
      <c r="AH39" s="23" t="s">
        <v>110</v>
      </c>
      <c r="AI39" s="36"/>
    </row>
    <row r="40" spans="1:35" x14ac:dyDescent="0.25">
      <c r="A40" s="9" t="s">
        <v>101</v>
      </c>
      <c r="B40" s="10" t="s">
        <v>89</v>
      </c>
      <c r="C40" s="10" t="s">
        <v>111</v>
      </c>
      <c r="D40" s="10"/>
      <c r="E40" s="10" t="s">
        <v>110</v>
      </c>
      <c r="F40" s="10"/>
      <c r="G40" s="10"/>
      <c r="H40" s="10">
        <v>15</v>
      </c>
      <c r="I40" s="10"/>
      <c r="J40" s="10">
        <v>18</v>
      </c>
      <c r="K40" s="10"/>
      <c r="L40" s="10">
        <v>27</v>
      </c>
      <c r="M40" s="10"/>
      <c r="N40" s="10">
        <v>29</v>
      </c>
      <c r="O40" s="10"/>
      <c r="P40" s="10">
        <v>24</v>
      </c>
      <c r="Q40" s="10"/>
      <c r="R40" s="10">
        <v>27</v>
      </c>
      <c r="S40" s="10"/>
      <c r="T40" s="10">
        <v>25</v>
      </c>
      <c r="U40" s="21">
        <f>(P40+R40+T40)/3</f>
        <v>25.333333333333332</v>
      </c>
      <c r="V40" s="25"/>
      <c r="W40" s="25" t="s">
        <v>110</v>
      </c>
      <c r="X40" s="23" t="s">
        <v>110</v>
      </c>
      <c r="Y40" s="26" t="s">
        <v>110</v>
      </c>
      <c r="Z40" s="28"/>
      <c r="AA40" s="23" t="s">
        <v>110</v>
      </c>
      <c r="AB40" s="10"/>
      <c r="AC40" s="22" t="s">
        <v>110</v>
      </c>
      <c r="AD40" s="22" t="s">
        <v>110</v>
      </c>
      <c r="AE40" s="22" t="s">
        <v>110</v>
      </c>
      <c r="AF40" s="23" t="s">
        <v>110</v>
      </c>
      <c r="AG40" s="10"/>
      <c r="AH40" s="10"/>
      <c r="AI40" s="36"/>
    </row>
    <row r="41" spans="1:35" x14ac:dyDescent="0.25">
      <c r="A41" s="9" t="s">
        <v>55</v>
      </c>
      <c r="B41" s="10" t="s">
        <v>119</v>
      </c>
      <c r="C41" s="5" t="s">
        <v>161</v>
      </c>
      <c r="D41" s="10"/>
      <c r="E41" s="10" t="s">
        <v>110</v>
      </c>
      <c r="F41" s="10">
        <v>25</v>
      </c>
      <c r="G41" s="10"/>
      <c r="H41" s="10">
        <v>30</v>
      </c>
      <c r="I41" s="10"/>
      <c r="J41" s="10">
        <v>22</v>
      </c>
      <c r="K41" s="10"/>
      <c r="L41" s="10">
        <v>28</v>
      </c>
      <c r="M41" s="10"/>
      <c r="N41" s="10">
        <v>28</v>
      </c>
      <c r="O41" s="10"/>
      <c r="P41" s="10">
        <v>42</v>
      </c>
      <c r="Q41" s="10"/>
      <c r="R41" s="10">
        <v>42</v>
      </c>
      <c r="S41" s="10"/>
      <c r="T41" s="10">
        <f>38</f>
        <v>38</v>
      </c>
      <c r="U41" s="21">
        <f>(P41+R41+T41)/3</f>
        <v>40.666666666666664</v>
      </c>
      <c r="V41" s="25"/>
      <c r="W41" s="25" t="s">
        <v>110</v>
      </c>
      <c r="X41" s="25"/>
      <c r="Y41" s="26"/>
      <c r="Z41" s="28" t="s">
        <v>110</v>
      </c>
      <c r="AA41" s="10"/>
      <c r="AB41" s="10"/>
      <c r="AC41" s="10"/>
      <c r="AD41" s="10"/>
      <c r="AE41" s="10"/>
      <c r="AF41" s="23" t="s">
        <v>110</v>
      </c>
      <c r="AG41" s="10"/>
      <c r="AH41" s="10"/>
      <c r="AI41" s="36"/>
    </row>
    <row r="42" spans="1:35" x14ac:dyDescent="0.25">
      <c r="A42" s="9" t="s">
        <v>87</v>
      </c>
      <c r="B42" s="10" t="s">
        <v>35</v>
      </c>
      <c r="C42" s="10" t="s">
        <v>3</v>
      </c>
      <c r="D42" s="10" t="s">
        <v>110</v>
      </c>
      <c r="E42" s="10"/>
      <c r="F42" s="10"/>
      <c r="G42" s="10">
        <v>5</v>
      </c>
      <c r="H42" s="10"/>
      <c r="I42" s="10">
        <v>8</v>
      </c>
      <c r="J42" s="10"/>
      <c r="K42" s="10">
        <v>9</v>
      </c>
      <c r="L42" s="10"/>
      <c r="M42" s="10">
        <f>8+4</f>
        <v>12</v>
      </c>
      <c r="N42" s="10"/>
      <c r="O42" s="10">
        <f>12+9</f>
        <v>21</v>
      </c>
      <c r="P42" s="10"/>
      <c r="Q42" s="10">
        <v>21</v>
      </c>
      <c r="R42" s="10"/>
      <c r="S42" s="10">
        <f>11+14</f>
        <v>25</v>
      </c>
      <c r="T42" s="10"/>
      <c r="U42" s="29">
        <f>(O42+Q42+S42)/3</f>
        <v>22.333333333333332</v>
      </c>
      <c r="V42" s="25"/>
      <c r="W42" s="25" t="s">
        <v>110</v>
      </c>
      <c r="X42" s="25"/>
      <c r="Y42" s="26"/>
      <c r="Z42" s="28"/>
      <c r="AA42" s="10"/>
      <c r="AB42" s="10"/>
      <c r="AC42" s="10"/>
      <c r="AD42" s="10"/>
      <c r="AE42" s="10"/>
      <c r="AF42" s="10"/>
      <c r="AG42" s="23" t="s">
        <v>110</v>
      </c>
      <c r="AH42" s="10"/>
      <c r="AI42" s="36"/>
    </row>
    <row r="43" spans="1:35" x14ac:dyDescent="0.25">
      <c r="A43" s="9" t="s">
        <v>195</v>
      </c>
      <c r="B43" s="10" t="s">
        <v>196</v>
      </c>
      <c r="C43" s="10" t="s">
        <v>197</v>
      </c>
      <c r="D43" s="10" t="s">
        <v>110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>
        <f>17+38</f>
        <v>55</v>
      </c>
      <c r="T43" s="10"/>
      <c r="U43" s="29">
        <f>S43</f>
        <v>55</v>
      </c>
      <c r="V43" s="25"/>
      <c r="W43" s="25"/>
      <c r="X43" s="25"/>
      <c r="Y43" s="26"/>
      <c r="Z43" s="28"/>
      <c r="AA43" s="10"/>
      <c r="AB43" s="10"/>
      <c r="AC43" s="10"/>
      <c r="AD43" s="10"/>
      <c r="AE43" s="10"/>
      <c r="AF43" s="10"/>
      <c r="AG43" s="10"/>
      <c r="AH43" s="10"/>
      <c r="AI43" s="36"/>
    </row>
    <row r="44" spans="1:35" x14ac:dyDescent="0.25">
      <c r="A44" s="9" t="s">
        <v>146</v>
      </c>
      <c r="B44" s="10" t="s">
        <v>179</v>
      </c>
      <c r="C44" s="10" t="s">
        <v>123</v>
      </c>
      <c r="D44" s="10" t="s">
        <v>110</v>
      </c>
      <c r="E44" s="10"/>
      <c r="F44" s="10"/>
      <c r="G44" s="10"/>
      <c r="H44" s="10"/>
      <c r="I44" s="10"/>
      <c r="J44" s="10"/>
      <c r="K44" s="10"/>
      <c r="L44" s="10"/>
      <c r="M44" s="10">
        <v>7</v>
      </c>
      <c r="N44" s="10"/>
      <c r="O44" s="10">
        <v>36</v>
      </c>
      <c r="P44" s="10"/>
      <c r="Q44" s="10">
        <v>33</v>
      </c>
      <c r="R44" s="10"/>
      <c r="S44" s="10">
        <v>49</v>
      </c>
      <c r="T44" s="10"/>
      <c r="U44" s="29">
        <f>(O44+Q44+S44)/3</f>
        <v>39.333333333333336</v>
      </c>
      <c r="V44" s="25"/>
      <c r="W44" s="25" t="s">
        <v>110</v>
      </c>
      <c r="X44" s="25"/>
      <c r="Y44" s="26"/>
      <c r="Z44" s="28"/>
      <c r="AA44" s="10"/>
      <c r="AB44" s="10"/>
      <c r="AC44" s="10"/>
      <c r="AD44" s="22" t="s">
        <v>110</v>
      </c>
      <c r="AE44" s="10"/>
      <c r="AF44" s="10"/>
      <c r="AG44" s="10"/>
      <c r="AH44" s="10"/>
      <c r="AI44" s="36"/>
    </row>
    <row r="45" spans="1:35" x14ac:dyDescent="0.25">
      <c r="A45" s="9" t="s">
        <v>68</v>
      </c>
      <c r="B45" s="5" t="s">
        <v>36</v>
      </c>
      <c r="C45" s="5" t="s">
        <v>199</v>
      </c>
      <c r="D45" s="5" t="s">
        <v>110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>
        <v>45</v>
      </c>
      <c r="T45" s="5"/>
      <c r="U45" s="29">
        <f>S45</f>
        <v>45</v>
      </c>
      <c r="V45" s="5"/>
      <c r="W45" s="5"/>
      <c r="X45" s="5"/>
      <c r="Y45" s="26"/>
      <c r="Z45" s="28"/>
      <c r="AA45" s="5"/>
      <c r="AB45" s="5"/>
      <c r="AC45" s="5"/>
      <c r="AD45" s="5"/>
      <c r="AE45" s="5"/>
      <c r="AF45" s="5"/>
      <c r="AG45" s="5"/>
      <c r="AH45" s="5"/>
      <c r="AI45" s="39"/>
    </row>
    <row r="46" spans="1:35" s="3" customFormat="1" x14ac:dyDescent="0.25">
      <c r="A46" s="11" t="s">
        <v>198</v>
      </c>
      <c r="B46" s="5" t="s">
        <v>191</v>
      </c>
      <c r="C46" s="5" t="s">
        <v>123</v>
      </c>
      <c r="D46" s="5" t="s">
        <v>110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>
        <v>5</v>
      </c>
      <c r="T46" s="5"/>
      <c r="U46" s="20">
        <f>S46</f>
        <v>5</v>
      </c>
      <c r="V46" s="5"/>
      <c r="W46" s="5" t="s">
        <v>110</v>
      </c>
      <c r="X46" s="23" t="s">
        <v>110</v>
      </c>
      <c r="Y46" s="26"/>
      <c r="Z46" s="28"/>
      <c r="AA46" s="23" t="s">
        <v>110</v>
      </c>
      <c r="AB46" s="5"/>
      <c r="AC46" s="22" t="s">
        <v>110</v>
      </c>
      <c r="AD46" s="5"/>
      <c r="AE46" s="5"/>
      <c r="AF46" s="5"/>
      <c r="AG46" s="5"/>
      <c r="AH46" s="23" t="s">
        <v>110</v>
      </c>
      <c r="AI46" s="39"/>
    </row>
    <row r="47" spans="1:35" s="3" customFormat="1" x14ac:dyDescent="0.25">
      <c r="A47" s="11" t="s">
        <v>190</v>
      </c>
      <c r="B47" s="10" t="s">
        <v>207</v>
      </c>
      <c r="C47" s="10" t="s">
        <v>205</v>
      </c>
      <c r="D47" s="10"/>
      <c r="E47" s="10" t="s">
        <v>110</v>
      </c>
      <c r="F47" s="10"/>
      <c r="G47" s="10"/>
      <c r="H47" s="10">
        <v>7</v>
      </c>
      <c r="I47" s="10"/>
      <c r="J47" s="10">
        <v>22</v>
      </c>
      <c r="K47" s="10"/>
      <c r="L47" s="10">
        <v>34</v>
      </c>
      <c r="M47" s="10"/>
      <c r="N47" s="10">
        <v>41</v>
      </c>
      <c r="O47" s="10"/>
      <c r="P47" s="10">
        <v>45</v>
      </c>
      <c r="Q47" s="10"/>
      <c r="R47" s="10">
        <v>45</v>
      </c>
      <c r="S47" s="10"/>
      <c r="T47" s="10">
        <v>39</v>
      </c>
      <c r="U47" s="21">
        <f>(P47+R47+T47)/3</f>
        <v>43</v>
      </c>
      <c r="V47" s="25"/>
      <c r="W47" s="25" t="s">
        <v>110</v>
      </c>
      <c r="X47" s="22" t="s">
        <v>110</v>
      </c>
      <c r="Y47" s="26"/>
      <c r="Z47" s="28"/>
      <c r="AA47" s="10"/>
      <c r="AB47" s="10"/>
      <c r="AC47" s="22" t="s">
        <v>110</v>
      </c>
      <c r="AD47" s="10"/>
      <c r="AE47" s="10"/>
      <c r="AF47" s="10"/>
      <c r="AG47" s="10"/>
      <c r="AH47" s="10"/>
      <c r="AI47" s="36"/>
    </row>
    <row r="48" spans="1:35" x14ac:dyDescent="0.25">
      <c r="A48" s="9" t="s">
        <v>93</v>
      </c>
      <c r="B48" s="5" t="s">
        <v>174</v>
      </c>
      <c r="C48" s="5" t="s">
        <v>175</v>
      </c>
      <c r="D48" s="5"/>
      <c r="E48" s="5" t="s">
        <v>110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>
        <v>23</v>
      </c>
      <c r="Q48" s="5"/>
      <c r="R48" s="5">
        <v>20</v>
      </c>
      <c r="S48" s="5"/>
      <c r="T48" s="5">
        <v>17</v>
      </c>
      <c r="U48" s="21">
        <f>(P48+R48+T48)/3</f>
        <v>20</v>
      </c>
      <c r="V48" s="5"/>
      <c r="W48" s="5"/>
      <c r="X48" s="5"/>
      <c r="Y48" s="26"/>
      <c r="Z48" s="28"/>
      <c r="AA48" s="5"/>
      <c r="AB48" s="5"/>
      <c r="AC48" s="5"/>
      <c r="AD48" s="5"/>
      <c r="AE48" s="5"/>
      <c r="AF48" s="5"/>
      <c r="AG48" s="5"/>
      <c r="AH48" s="5"/>
      <c r="AI48" s="39"/>
    </row>
    <row r="49" spans="1:35" s="3" customFormat="1" x14ac:dyDescent="0.25">
      <c r="A49" s="11" t="s">
        <v>181</v>
      </c>
      <c r="B49" s="10" t="s">
        <v>37</v>
      </c>
      <c r="C49" s="10" t="s">
        <v>21</v>
      </c>
      <c r="D49" s="10" t="s">
        <v>110</v>
      </c>
      <c r="E49" s="10"/>
      <c r="F49" s="10"/>
      <c r="G49" s="10">
        <v>32</v>
      </c>
      <c r="H49" s="10"/>
      <c r="I49" s="10">
        <v>27</v>
      </c>
      <c r="J49" s="10"/>
      <c r="K49" s="10">
        <v>23</v>
      </c>
      <c r="L49" s="10"/>
      <c r="M49" s="10">
        <f>9+16</f>
        <v>25</v>
      </c>
      <c r="N49" s="10"/>
      <c r="O49" s="10">
        <f>29+8</f>
        <v>37</v>
      </c>
      <c r="P49" s="10"/>
      <c r="Q49" s="10">
        <v>34</v>
      </c>
      <c r="R49" s="10"/>
      <c r="S49" s="10">
        <f>19+2</f>
        <v>21</v>
      </c>
      <c r="T49" s="10"/>
      <c r="U49" s="21">
        <f>(O49+Q49+S49)/3</f>
        <v>30.666666666666668</v>
      </c>
      <c r="V49" s="25"/>
      <c r="W49" s="5" t="s">
        <v>110</v>
      </c>
      <c r="X49" s="23" t="s">
        <v>110</v>
      </c>
      <c r="Y49" s="26"/>
      <c r="Z49" s="28"/>
      <c r="AA49" s="23" t="s">
        <v>110</v>
      </c>
      <c r="AB49" s="10"/>
      <c r="AC49" s="10"/>
      <c r="AD49" s="10"/>
      <c r="AE49" s="10"/>
      <c r="AF49" s="10"/>
      <c r="AG49" s="10"/>
      <c r="AH49" s="22" t="s">
        <v>110</v>
      </c>
      <c r="AI49" s="36"/>
    </row>
    <row r="50" spans="1:35" x14ac:dyDescent="0.25">
      <c r="A50" s="11" t="s">
        <v>79</v>
      </c>
      <c r="B50" s="5" t="s">
        <v>81</v>
      </c>
      <c r="C50" s="5" t="s">
        <v>117</v>
      </c>
      <c r="D50" s="10" t="s">
        <v>110</v>
      </c>
      <c r="E50" s="10" t="s">
        <v>110</v>
      </c>
      <c r="F50" s="10">
        <v>41</v>
      </c>
      <c r="G50" s="10">
        <v>6</v>
      </c>
      <c r="H50" s="10">
        <v>37</v>
      </c>
      <c r="I50" s="10">
        <v>10</v>
      </c>
      <c r="J50" s="10">
        <v>35</v>
      </c>
      <c r="K50" s="10">
        <v>3</v>
      </c>
      <c r="L50" s="10">
        <v>32</v>
      </c>
      <c r="M50" s="10">
        <v>6</v>
      </c>
      <c r="N50" s="10">
        <v>42</v>
      </c>
      <c r="O50" s="10">
        <v>10</v>
      </c>
      <c r="P50" s="10">
        <v>49</v>
      </c>
      <c r="Q50" s="10">
        <v>8</v>
      </c>
      <c r="R50" s="10">
        <v>50</v>
      </c>
      <c r="S50" s="10">
        <v>3</v>
      </c>
      <c r="T50" s="10">
        <v>33</v>
      </c>
      <c r="U50" s="21">
        <f>(R50+S50+T50)/3</f>
        <v>28.666666666666668</v>
      </c>
      <c r="V50" s="25"/>
      <c r="W50" s="5" t="s">
        <v>110</v>
      </c>
      <c r="X50" s="23" t="s">
        <v>110</v>
      </c>
      <c r="Y50" s="26"/>
      <c r="Z50" s="28"/>
      <c r="AA50" s="22" t="s">
        <v>110</v>
      </c>
      <c r="AB50" s="10"/>
      <c r="AC50" s="10"/>
      <c r="AD50" s="23" t="s">
        <v>110</v>
      </c>
      <c r="AE50" s="10"/>
      <c r="AF50" s="10"/>
      <c r="AG50" s="10"/>
      <c r="AH50" s="22" t="s">
        <v>110</v>
      </c>
      <c r="AI50" s="36"/>
    </row>
    <row r="51" spans="1:35" x14ac:dyDescent="0.25">
      <c r="A51" s="11" t="s">
        <v>80</v>
      </c>
      <c r="B51" s="5" t="s">
        <v>82</v>
      </c>
      <c r="C51" s="5" t="s">
        <v>117</v>
      </c>
      <c r="D51" s="10"/>
      <c r="E51" s="10" t="s">
        <v>110</v>
      </c>
      <c r="F51" s="10"/>
      <c r="G51" s="10"/>
      <c r="H51" s="10"/>
      <c r="I51" s="10"/>
      <c r="J51" s="10">
        <v>28</v>
      </c>
      <c r="K51" s="10">
        <v>5</v>
      </c>
      <c r="L51" s="10">
        <v>28</v>
      </c>
      <c r="M51" s="10">
        <v>9</v>
      </c>
      <c r="N51" s="10">
        <v>33</v>
      </c>
      <c r="O51" s="10"/>
      <c r="P51" s="10">
        <v>40</v>
      </c>
      <c r="Q51" s="10"/>
      <c r="R51" s="10">
        <v>41</v>
      </c>
      <c r="S51" s="10"/>
      <c r="T51" s="10">
        <v>26</v>
      </c>
      <c r="U51" s="21">
        <f>(P51+R51+T51)/3</f>
        <v>35.666666666666664</v>
      </c>
      <c r="V51" s="25"/>
      <c r="W51" s="5" t="s">
        <v>110</v>
      </c>
      <c r="X51" s="25"/>
      <c r="Y51" s="26"/>
      <c r="Z51" s="28"/>
      <c r="AA51" s="22" t="s">
        <v>110</v>
      </c>
      <c r="AB51" s="10"/>
      <c r="AC51" s="10"/>
      <c r="AD51" s="23" t="s">
        <v>110</v>
      </c>
      <c r="AE51" s="10"/>
      <c r="AF51" s="10"/>
      <c r="AG51" s="10"/>
      <c r="AH51" s="22" t="s">
        <v>110</v>
      </c>
      <c r="AI51" s="36"/>
    </row>
    <row r="52" spans="1:35" x14ac:dyDescent="0.25">
      <c r="A52" s="9" t="s">
        <v>62</v>
      </c>
      <c r="B52" s="10" t="s">
        <v>206</v>
      </c>
      <c r="C52" s="10" t="s">
        <v>159</v>
      </c>
      <c r="D52" s="10"/>
      <c r="E52" s="10" t="s">
        <v>110</v>
      </c>
      <c r="F52" s="10">
        <v>10</v>
      </c>
      <c r="G52" s="10"/>
      <c r="H52" s="10">
        <v>10</v>
      </c>
      <c r="I52" s="10"/>
      <c r="J52" s="10">
        <v>11</v>
      </c>
      <c r="K52" s="10"/>
      <c r="L52" s="10">
        <v>26</v>
      </c>
      <c r="M52" s="10"/>
      <c r="N52" s="10">
        <v>16</v>
      </c>
      <c r="O52" s="10"/>
      <c r="P52" s="10">
        <v>17</v>
      </c>
      <c r="Q52" s="10"/>
      <c r="R52" s="10">
        <v>8</v>
      </c>
      <c r="S52" s="10"/>
      <c r="T52" s="10">
        <v>18</v>
      </c>
      <c r="U52" s="21">
        <f>(P52+R52+T52)/3</f>
        <v>14.333333333333334</v>
      </c>
      <c r="V52" s="25"/>
      <c r="W52" s="25" t="s">
        <v>110</v>
      </c>
      <c r="X52" s="25"/>
      <c r="Y52" s="26"/>
      <c r="Z52" s="28"/>
      <c r="AA52" s="10"/>
      <c r="AB52" s="10"/>
      <c r="AC52" s="10"/>
      <c r="AD52" s="10"/>
      <c r="AE52" s="22" t="s">
        <v>110</v>
      </c>
      <c r="AF52" s="10"/>
      <c r="AG52" s="10"/>
      <c r="AH52" s="10"/>
      <c r="AI52" s="36"/>
    </row>
    <row r="53" spans="1:35" x14ac:dyDescent="0.25">
      <c r="A53" s="9" t="s">
        <v>126</v>
      </c>
      <c r="B53" s="10" t="s">
        <v>151</v>
      </c>
      <c r="C53" s="10" t="s">
        <v>120</v>
      </c>
      <c r="D53" s="10"/>
      <c r="E53" s="10" t="s">
        <v>110</v>
      </c>
      <c r="F53" s="10">
        <v>14</v>
      </c>
      <c r="G53" s="10"/>
      <c r="H53" s="10">
        <v>16</v>
      </c>
      <c r="I53" s="10"/>
      <c r="J53" s="10">
        <v>16</v>
      </c>
      <c r="K53" s="10"/>
      <c r="L53" s="10">
        <v>16</v>
      </c>
      <c r="M53" s="10"/>
      <c r="N53" s="10">
        <v>7</v>
      </c>
      <c r="O53" s="10"/>
      <c r="P53" s="10">
        <v>6</v>
      </c>
      <c r="Q53" s="10"/>
      <c r="R53" s="10">
        <v>10</v>
      </c>
      <c r="S53" s="10"/>
      <c r="T53" s="10">
        <v>8</v>
      </c>
      <c r="U53" s="20">
        <f>(P53+R53+T53)/3</f>
        <v>8</v>
      </c>
      <c r="V53" s="25" t="s">
        <v>142</v>
      </c>
      <c r="W53" s="5" t="s">
        <v>110</v>
      </c>
      <c r="X53" s="25"/>
      <c r="Y53" s="26"/>
      <c r="Z53" s="28"/>
      <c r="AA53" s="10"/>
      <c r="AB53" s="10"/>
      <c r="AC53" s="10"/>
      <c r="AD53" s="10"/>
      <c r="AE53" s="10"/>
      <c r="AF53" s="10"/>
      <c r="AG53" s="22" t="s">
        <v>110</v>
      </c>
      <c r="AH53" s="10"/>
      <c r="AI53" s="36"/>
    </row>
    <row r="54" spans="1:35" ht="21" customHeight="1" x14ac:dyDescent="0.25">
      <c r="A54" s="9" t="s">
        <v>148</v>
      </c>
      <c r="B54" s="5" t="s">
        <v>188</v>
      </c>
      <c r="C54" s="5" t="s">
        <v>189</v>
      </c>
      <c r="D54" s="5"/>
      <c r="E54" s="5" t="s">
        <v>110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>
        <v>49</v>
      </c>
      <c r="S54" s="5"/>
      <c r="T54" s="5">
        <v>78</v>
      </c>
      <c r="U54" s="29">
        <f>(R54+T54)/2</f>
        <v>63.5</v>
      </c>
      <c r="V54" s="30"/>
      <c r="W54" s="30"/>
      <c r="X54" s="30"/>
      <c r="Y54" s="26"/>
      <c r="Z54" s="28"/>
      <c r="AA54" s="30"/>
      <c r="AB54" s="30"/>
      <c r="AC54" s="30"/>
      <c r="AD54" s="30"/>
      <c r="AE54" s="30"/>
      <c r="AF54" s="30"/>
      <c r="AG54" s="30"/>
      <c r="AH54" s="30"/>
      <c r="AI54" s="40"/>
    </row>
    <row r="55" spans="1:35" s="4" customFormat="1" ht="15.75" customHeight="1" x14ac:dyDescent="0.25">
      <c r="A55" s="11" t="s">
        <v>187</v>
      </c>
      <c r="B55" s="10" t="s">
        <v>38</v>
      </c>
      <c r="C55" s="10" t="s">
        <v>13</v>
      </c>
      <c r="D55" s="10"/>
      <c r="E55" s="10" t="s">
        <v>110</v>
      </c>
      <c r="F55" s="10">
        <v>46</v>
      </c>
      <c r="G55" s="10"/>
      <c r="H55" s="10">
        <v>62</v>
      </c>
      <c r="I55" s="10"/>
      <c r="J55" s="10">
        <v>82</v>
      </c>
      <c r="K55" s="10"/>
      <c r="L55" s="10">
        <v>85</v>
      </c>
      <c r="M55" s="10"/>
      <c r="N55" s="10">
        <v>70</v>
      </c>
      <c r="O55" s="10"/>
      <c r="P55" s="10">
        <v>70</v>
      </c>
      <c r="Q55" s="10"/>
      <c r="R55" s="10">
        <v>71</v>
      </c>
      <c r="S55" s="10"/>
      <c r="T55" s="10">
        <v>74</v>
      </c>
      <c r="U55" s="21">
        <f>(P55+R55+T55)/3</f>
        <v>71.666666666666671</v>
      </c>
      <c r="V55" s="25"/>
      <c r="W55" s="5" t="s">
        <v>110</v>
      </c>
      <c r="X55" s="25"/>
      <c r="Y55" s="26"/>
      <c r="Z55" s="28"/>
      <c r="AA55" s="10"/>
      <c r="AB55" s="10"/>
      <c r="AC55" s="10"/>
      <c r="AD55" s="10"/>
      <c r="AE55" s="10"/>
      <c r="AF55" s="22" t="s">
        <v>110</v>
      </c>
      <c r="AG55" s="10"/>
      <c r="AH55" s="10"/>
      <c r="AI55" s="36"/>
    </row>
    <row r="56" spans="1:35" x14ac:dyDescent="0.25">
      <c r="A56" s="9" t="s">
        <v>153</v>
      </c>
      <c r="B56" s="5" t="s">
        <v>163</v>
      </c>
      <c r="C56" s="5" t="s">
        <v>203</v>
      </c>
      <c r="D56" s="5" t="s">
        <v>110</v>
      </c>
      <c r="E56" s="5"/>
      <c r="F56" s="5"/>
      <c r="G56" s="12">
        <v>10</v>
      </c>
      <c r="H56" s="5"/>
      <c r="I56" s="12">
        <v>31</v>
      </c>
      <c r="J56" s="5"/>
      <c r="K56" s="12">
        <v>33</v>
      </c>
      <c r="L56" s="12"/>
      <c r="M56" s="12">
        <f>8+37</f>
        <v>45</v>
      </c>
      <c r="N56" s="12"/>
      <c r="O56" s="12">
        <f>52+18</f>
        <v>70</v>
      </c>
      <c r="P56" s="12"/>
      <c r="Q56" s="12">
        <v>60</v>
      </c>
      <c r="R56" s="12"/>
      <c r="S56" s="12">
        <f>45+25</f>
        <v>70</v>
      </c>
      <c r="T56" s="12"/>
      <c r="U56" s="29">
        <f>(O56+Q56+S56)/3</f>
        <v>66.666666666666671</v>
      </c>
      <c r="V56" s="22"/>
      <c r="W56" s="22" t="s">
        <v>110</v>
      </c>
      <c r="X56" s="22"/>
      <c r="Y56" s="26"/>
      <c r="Z56" s="22"/>
      <c r="AA56" s="22"/>
      <c r="AB56" s="22"/>
      <c r="AC56" s="22"/>
      <c r="AD56" s="23" t="s">
        <v>110</v>
      </c>
      <c r="AE56" s="22"/>
      <c r="AF56" s="22" t="s">
        <v>110</v>
      </c>
      <c r="AG56" s="22"/>
      <c r="AH56" s="22"/>
      <c r="AI56" s="38"/>
    </row>
    <row r="57" spans="1:35" x14ac:dyDescent="0.25">
      <c r="A57" s="9" t="s">
        <v>59</v>
      </c>
      <c r="B57" s="10" t="s">
        <v>40</v>
      </c>
      <c r="C57" s="5" t="s">
        <v>118</v>
      </c>
      <c r="D57" s="10" t="s">
        <v>110</v>
      </c>
      <c r="E57" s="10" t="s">
        <v>110</v>
      </c>
      <c r="F57" s="10">
        <v>0</v>
      </c>
      <c r="G57" s="10">
        <v>19</v>
      </c>
      <c r="H57" s="10">
        <v>1</v>
      </c>
      <c r="I57" s="10">
        <v>19</v>
      </c>
      <c r="J57" s="10">
        <v>1</v>
      </c>
      <c r="K57" s="10">
        <v>33</v>
      </c>
      <c r="L57" s="10">
        <v>1</v>
      </c>
      <c r="M57" s="10">
        <v>38</v>
      </c>
      <c r="N57" s="10">
        <v>3</v>
      </c>
      <c r="O57" s="10">
        <v>37</v>
      </c>
      <c r="P57" s="10">
        <v>5</v>
      </c>
      <c r="Q57" s="10">
        <v>24</v>
      </c>
      <c r="R57" s="10"/>
      <c r="S57" s="10">
        <v>24</v>
      </c>
      <c r="T57" s="10">
        <v>0</v>
      </c>
      <c r="U57" s="21">
        <f>(O57+Q57+S57)/3</f>
        <v>28.333333333333332</v>
      </c>
      <c r="V57" s="25"/>
      <c r="W57" s="5" t="s">
        <v>110</v>
      </c>
      <c r="X57" s="23" t="s">
        <v>110</v>
      </c>
      <c r="Y57" s="26"/>
      <c r="Z57" s="28"/>
      <c r="AA57" s="23" t="s">
        <v>110</v>
      </c>
      <c r="AB57" s="10"/>
      <c r="AC57" s="10"/>
      <c r="AD57" s="10"/>
      <c r="AE57" s="10"/>
      <c r="AF57" s="10"/>
      <c r="AG57" s="22" t="s">
        <v>110</v>
      </c>
      <c r="AH57" s="22" t="s">
        <v>110</v>
      </c>
      <c r="AI57" s="36"/>
    </row>
    <row r="58" spans="1:35" x14ac:dyDescent="0.25">
      <c r="A58" s="9" t="s">
        <v>83</v>
      </c>
      <c r="B58" s="10" t="s">
        <v>58</v>
      </c>
      <c r="C58" s="10" t="s">
        <v>39</v>
      </c>
      <c r="D58" s="10" t="s">
        <v>110</v>
      </c>
      <c r="E58" s="10" t="s">
        <v>110</v>
      </c>
      <c r="F58" s="10">
        <v>24</v>
      </c>
      <c r="G58" s="10">
        <v>29</v>
      </c>
      <c r="H58" s="10">
        <v>22</v>
      </c>
      <c r="I58" s="10">
        <v>34</v>
      </c>
      <c r="J58" s="10">
        <v>29</v>
      </c>
      <c r="K58" s="10">
        <v>72</v>
      </c>
      <c r="L58" s="10">
        <v>66</v>
      </c>
      <c r="M58" s="10">
        <f>14+38</f>
        <v>52</v>
      </c>
      <c r="N58" s="10">
        <f>57+20</f>
        <v>77</v>
      </c>
      <c r="O58" s="10">
        <f>32+23</f>
        <v>55</v>
      </c>
      <c r="P58" s="10">
        <v>80</v>
      </c>
      <c r="Q58" s="10">
        <v>35</v>
      </c>
      <c r="R58" s="10">
        <v>55</v>
      </c>
      <c r="S58" s="10">
        <f>15+11</f>
        <v>26</v>
      </c>
      <c r="T58" s="10">
        <f>12+11</f>
        <v>23</v>
      </c>
      <c r="U58" s="21">
        <f>(R58+S58+T58)/3</f>
        <v>34.666666666666664</v>
      </c>
      <c r="V58" s="25"/>
      <c r="W58" s="5" t="s">
        <v>110</v>
      </c>
      <c r="X58" s="25"/>
      <c r="Y58" s="26"/>
      <c r="Z58" s="28"/>
      <c r="AA58" s="23" t="s">
        <v>110</v>
      </c>
      <c r="AB58" s="10"/>
      <c r="AC58" s="10"/>
      <c r="AD58" s="10"/>
      <c r="AE58" s="10"/>
      <c r="AF58" s="10"/>
      <c r="AG58" s="10"/>
      <c r="AH58" s="22" t="s">
        <v>110</v>
      </c>
      <c r="AI58" s="36"/>
    </row>
    <row r="59" spans="1:35" x14ac:dyDescent="0.25">
      <c r="A59" s="9" t="s">
        <v>96</v>
      </c>
      <c r="B59" s="10" t="s">
        <v>219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21"/>
      <c r="V59" s="25"/>
      <c r="W59" s="25"/>
      <c r="X59" s="25"/>
      <c r="Y59" s="26"/>
      <c r="Z59" s="28"/>
      <c r="AA59" s="10"/>
      <c r="AB59" s="10"/>
      <c r="AC59" s="10"/>
      <c r="AD59" s="10"/>
      <c r="AE59" s="10"/>
      <c r="AF59" s="10"/>
      <c r="AG59" s="10"/>
      <c r="AH59" s="10"/>
      <c r="AI59" s="36"/>
    </row>
    <row r="60" spans="1:35" x14ac:dyDescent="0.25">
      <c r="A60" s="9" t="s">
        <v>220</v>
      </c>
      <c r="B60" s="10" t="s">
        <v>221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21"/>
      <c r="V60" s="25"/>
      <c r="W60" s="25"/>
      <c r="X60" s="25"/>
      <c r="Y60" s="26"/>
      <c r="Z60" s="28"/>
      <c r="AA60" s="10"/>
      <c r="AB60" s="10"/>
      <c r="AC60" s="10"/>
      <c r="AD60" s="10"/>
      <c r="AE60" s="10"/>
      <c r="AF60" s="10"/>
      <c r="AG60" s="10"/>
      <c r="AH60" s="10"/>
      <c r="AI60" s="36"/>
    </row>
    <row r="61" spans="1:35" x14ac:dyDescent="0.25">
      <c r="A61" s="9" t="s">
        <v>222</v>
      </c>
      <c r="B61" s="10" t="s">
        <v>95</v>
      </c>
      <c r="C61" s="10" t="s">
        <v>223</v>
      </c>
      <c r="D61" s="10" t="s">
        <v>110</v>
      </c>
      <c r="E61" s="10" t="s">
        <v>110</v>
      </c>
      <c r="F61" s="10">
        <v>27</v>
      </c>
      <c r="G61" s="10">
        <v>47</v>
      </c>
      <c r="H61" s="10">
        <v>24</v>
      </c>
      <c r="I61" s="10">
        <v>60</v>
      </c>
      <c r="J61" s="10">
        <v>40</v>
      </c>
      <c r="K61" s="10">
        <v>70</v>
      </c>
      <c r="L61" s="10"/>
      <c r="M61" s="10">
        <v>21</v>
      </c>
      <c r="N61" s="10">
        <v>49</v>
      </c>
      <c r="O61" s="10">
        <v>47</v>
      </c>
      <c r="P61" s="10">
        <v>46</v>
      </c>
      <c r="Q61" s="10">
        <v>40</v>
      </c>
      <c r="R61" s="10">
        <v>52</v>
      </c>
      <c r="S61" s="10">
        <v>53</v>
      </c>
      <c r="T61" s="10">
        <v>52</v>
      </c>
      <c r="U61" s="21">
        <f>(R61+S61+T61)/3</f>
        <v>52.333333333333336</v>
      </c>
      <c r="V61" s="25"/>
      <c r="W61" s="25"/>
      <c r="X61" s="25"/>
      <c r="Y61" s="26"/>
      <c r="Z61" s="28"/>
      <c r="AA61" s="10"/>
      <c r="AB61" s="10"/>
      <c r="AC61" s="10"/>
      <c r="AD61" s="10"/>
      <c r="AE61" s="10"/>
      <c r="AF61" s="10"/>
      <c r="AG61" s="10"/>
      <c r="AH61" s="10"/>
      <c r="AI61" s="36"/>
    </row>
    <row r="62" spans="1:35" x14ac:dyDescent="0.25">
      <c r="A62" s="9" t="s">
        <v>70</v>
      </c>
      <c r="B62" s="10" t="s">
        <v>115</v>
      </c>
      <c r="C62" s="5" t="s">
        <v>208</v>
      </c>
      <c r="D62" s="10" t="s">
        <v>110</v>
      </c>
      <c r="E62" s="10"/>
      <c r="F62" s="10"/>
      <c r="G62" s="10">
        <v>35</v>
      </c>
      <c r="H62" s="10"/>
      <c r="I62" s="10">
        <v>40</v>
      </c>
      <c r="J62" s="10"/>
      <c r="K62" s="10">
        <v>36</v>
      </c>
      <c r="L62" s="10"/>
      <c r="M62" s="10">
        <f>16+12</f>
        <v>28</v>
      </c>
      <c r="N62" s="10"/>
      <c r="O62" s="10">
        <f>35+28</f>
        <v>63</v>
      </c>
      <c r="P62" s="10"/>
      <c r="Q62" s="10">
        <v>66</v>
      </c>
      <c r="R62" s="10"/>
      <c r="S62" s="10">
        <f>62+26</f>
        <v>88</v>
      </c>
      <c r="T62" s="10"/>
      <c r="U62" s="21">
        <f>(O62+Q62+S62)/3</f>
        <v>72.333333333333329</v>
      </c>
      <c r="V62" s="25"/>
      <c r="W62" s="25" t="s">
        <v>110</v>
      </c>
      <c r="X62" s="23" t="s">
        <v>110</v>
      </c>
      <c r="Y62" s="26"/>
      <c r="Z62" s="28" t="s">
        <v>110</v>
      </c>
      <c r="AA62" s="10"/>
      <c r="AB62" s="23" t="s">
        <v>110</v>
      </c>
      <c r="AC62" s="10"/>
      <c r="AD62" s="10"/>
      <c r="AE62" s="10"/>
      <c r="AF62" s="23" t="s">
        <v>110</v>
      </c>
      <c r="AG62" s="10"/>
      <c r="AH62" s="10"/>
      <c r="AI62" s="37" t="s">
        <v>110</v>
      </c>
    </row>
    <row r="63" spans="1:35" x14ac:dyDescent="0.25">
      <c r="A63" s="9" t="s">
        <v>240</v>
      </c>
      <c r="B63" s="10" t="s">
        <v>239</v>
      </c>
      <c r="C63" s="5"/>
      <c r="D63" s="10"/>
      <c r="E63" s="10" t="s">
        <v>110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21"/>
      <c r="V63" s="25"/>
      <c r="W63" s="25"/>
      <c r="X63" s="23"/>
      <c r="Y63" s="26"/>
      <c r="Z63" s="28"/>
      <c r="AA63" s="10"/>
      <c r="AB63" s="23"/>
      <c r="AC63" s="10"/>
      <c r="AD63" s="10"/>
      <c r="AE63" s="10"/>
      <c r="AF63" s="23"/>
      <c r="AG63" s="10"/>
      <c r="AH63" s="10"/>
      <c r="AI63" s="37"/>
    </row>
    <row r="64" spans="1:35" x14ac:dyDescent="0.25">
      <c r="A64" s="9" t="s">
        <v>85</v>
      </c>
      <c r="B64" s="10" t="s">
        <v>41</v>
      </c>
      <c r="C64" s="10" t="s">
        <v>43</v>
      </c>
      <c r="D64" s="10"/>
      <c r="E64" s="10" t="s">
        <v>110</v>
      </c>
      <c r="F64" s="10">
        <v>53</v>
      </c>
      <c r="G64" s="10"/>
      <c r="H64" s="10">
        <v>33</v>
      </c>
      <c r="I64" s="10"/>
      <c r="J64" s="10">
        <v>49</v>
      </c>
      <c r="K64" s="10"/>
      <c r="L64" s="10">
        <v>54</v>
      </c>
      <c r="M64" s="10"/>
      <c r="N64" s="10">
        <v>50</v>
      </c>
      <c r="O64" s="10"/>
      <c r="P64" s="10">
        <v>53</v>
      </c>
      <c r="Q64" s="10"/>
      <c r="R64" s="10">
        <v>47</v>
      </c>
      <c r="S64" s="10"/>
      <c r="T64" s="10">
        <v>52</v>
      </c>
      <c r="U64" s="21">
        <f>(P64+R64+T64)/3</f>
        <v>50.666666666666664</v>
      </c>
      <c r="V64" s="25"/>
      <c r="W64" s="25" t="s">
        <v>110</v>
      </c>
      <c r="X64" s="22" t="s">
        <v>110</v>
      </c>
      <c r="Y64" s="26" t="s">
        <v>110</v>
      </c>
      <c r="Z64" s="28"/>
      <c r="AA64" s="10"/>
      <c r="AB64" s="10"/>
      <c r="AC64" s="22" t="s">
        <v>110</v>
      </c>
      <c r="AD64" s="10"/>
      <c r="AE64" s="22" t="s">
        <v>110</v>
      </c>
      <c r="AF64" s="10"/>
      <c r="AG64" s="10"/>
      <c r="AH64" s="10"/>
      <c r="AI64" s="36"/>
    </row>
    <row r="65" spans="1:35" x14ac:dyDescent="0.25">
      <c r="A65" s="9" t="s">
        <v>65</v>
      </c>
      <c r="B65" s="10" t="s">
        <v>42</v>
      </c>
      <c r="C65" s="10" t="s">
        <v>43</v>
      </c>
      <c r="D65" s="10" t="s">
        <v>110</v>
      </c>
      <c r="E65" s="10"/>
      <c r="F65" s="10"/>
      <c r="G65" s="10">
        <v>56</v>
      </c>
      <c r="H65" s="10"/>
      <c r="I65" s="10">
        <v>48</v>
      </c>
      <c r="J65" s="10"/>
      <c r="K65" s="10">
        <v>66</v>
      </c>
      <c r="L65" s="10"/>
      <c r="M65" s="10">
        <f>37+25</f>
        <v>62</v>
      </c>
      <c r="N65" s="10"/>
      <c r="O65" s="10">
        <f>38+33</f>
        <v>71</v>
      </c>
      <c r="P65" s="10"/>
      <c r="Q65" s="10">
        <v>88</v>
      </c>
      <c r="R65" s="10"/>
      <c r="S65" s="10">
        <f>51+63</f>
        <v>114</v>
      </c>
      <c r="T65" s="10"/>
      <c r="U65" s="21">
        <f>(O65+Q65+S65)/3</f>
        <v>91</v>
      </c>
      <c r="V65" s="25"/>
      <c r="W65" s="25" t="s">
        <v>110</v>
      </c>
      <c r="X65" s="23" t="s">
        <v>110</v>
      </c>
      <c r="Y65" s="26" t="s">
        <v>110</v>
      </c>
      <c r="Z65" s="28"/>
      <c r="AA65" s="10"/>
      <c r="AB65" s="10"/>
      <c r="AC65" s="22" t="s">
        <v>110</v>
      </c>
      <c r="AD65" s="10"/>
      <c r="AE65" s="10"/>
      <c r="AF65" s="10"/>
      <c r="AG65" s="10"/>
      <c r="AH65" s="10"/>
      <c r="AI65" s="37" t="s">
        <v>110</v>
      </c>
    </row>
    <row r="66" spans="1:35" x14ac:dyDescent="0.25">
      <c r="A66" s="9" t="s">
        <v>73</v>
      </c>
      <c r="B66" s="10" t="s">
        <v>44</v>
      </c>
      <c r="C66" s="10" t="s">
        <v>134</v>
      </c>
      <c r="D66" s="10"/>
      <c r="E66" s="10" t="s">
        <v>110</v>
      </c>
      <c r="F66" s="10">
        <v>12</v>
      </c>
      <c r="G66" s="10"/>
      <c r="H66" s="10">
        <v>7</v>
      </c>
      <c r="I66" s="10"/>
      <c r="J66" s="10">
        <v>25</v>
      </c>
      <c r="K66" s="10"/>
      <c r="L66" s="10">
        <v>27</v>
      </c>
      <c r="M66" s="10"/>
      <c r="N66" s="10">
        <f>9+17</f>
        <v>26</v>
      </c>
      <c r="O66" s="10"/>
      <c r="P66" s="10">
        <v>31</v>
      </c>
      <c r="Q66" s="10"/>
      <c r="R66" s="10">
        <v>26</v>
      </c>
      <c r="S66" s="10"/>
      <c r="T66" s="10">
        <f>11+12</f>
        <v>23</v>
      </c>
      <c r="U66" s="21">
        <f>(P66+R66+T66)/3</f>
        <v>26.666666666666668</v>
      </c>
      <c r="V66" s="25"/>
      <c r="W66" s="25"/>
      <c r="X66" s="25"/>
      <c r="Y66" s="26"/>
      <c r="Z66" s="28"/>
      <c r="AA66" s="10"/>
      <c r="AB66" s="10"/>
      <c r="AC66" s="10"/>
      <c r="AD66" s="10"/>
      <c r="AE66" s="10"/>
      <c r="AF66" s="10"/>
      <c r="AG66" s="10"/>
      <c r="AH66" s="10"/>
      <c r="AI66" s="36"/>
    </row>
    <row r="67" spans="1:35" x14ac:dyDescent="0.25">
      <c r="A67" s="9" t="s">
        <v>164</v>
      </c>
      <c r="B67" s="10" t="s">
        <v>165</v>
      </c>
      <c r="C67" s="10" t="s">
        <v>166</v>
      </c>
      <c r="D67" s="10"/>
      <c r="E67" s="10" t="s">
        <v>110</v>
      </c>
      <c r="F67" s="10"/>
      <c r="G67" s="10"/>
      <c r="H67" s="10"/>
      <c r="I67" s="10"/>
      <c r="J67" s="10"/>
      <c r="K67" s="10"/>
      <c r="L67" s="10"/>
      <c r="M67" s="10"/>
      <c r="N67" s="10">
        <v>44</v>
      </c>
      <c r="O67" s="10"/>
      <c r="P67" s="10">
        <v>48</v>
      </c>
      <c r="Q67" s="10"/>
      <c r="R67" s="10">
        <v>70</v>
      </c>
      <c r="S67" s="10"/>
      <c r="T67" s="10">
        <v>48</v>
      </c>
      <c r="U67" s="20">
        <f>(P67+R67+T67)/3</f>
        <v>55.333333333333336</v>
      </c>
      <c r="V67" s="25"/>
      <c r="W67" s="25"/>
      <c r="X67" s="25"/>
      <c r="Y67" s="26"/>
      <c r="Z67" s="28"/>
      <c r="AA67" s="10"/>
      <c r="AB67" s="10"/>
      <c r="AC67" s="10"/>
      <c r="AD67" s="10"/>
      <c r="AE67" s="10"/>
      <c r="AF67" s="10"/>
      <c r="AG67" s="10"/>
      <c r="AH67" s="10"/>
      <c r="AI67" s="36"/>
    </row>
    <row r="68" spans="1:35" x14ac:dyDescent="0.25">
      <c r="A68" s="9" t="s">
        <v>158</v>
      </c>
      <c r="B68" s="10" t="s">
        <v>45</v>
      </c>
      <c r="C68" s="10" t="s">
        <v>46</v>
      </c>
      <c r="D68" s="10"/>
      <c r="E68" s="10" t="s">
        <v>110</v>
      </c>
      <c r="F68" s="10">
        <v>2</v>
      </c>
      <c r="G68" s="10"/>
      <c r="H68" s="10">
        <v>1</v>
      </c>
      <c r="I68" s="10"/>
      <c r="J68" s="10">
        <v>0</v>
      </c>
      <c r="K68" s="10"/>
      <c r="L68" s="10">
        <v>1</v>
      </c>
      <c r="M68" s="10"/>
      <c r="N68" s="10">
        <v>0</v>
      </c>
      <c r="O68" s="10"/>
      <c r="P68" s="10">
        <v>3</v>
      </c>
      <c r="Q68" s="10"/>
      <c r="R68" s="10">
        <v>0</v>
      </c>
      <c r="S68" s="10"/>
      <c r="T68" s="10">
        <v>2</v>
      </c>
      <c r="U68" s="20">
        <f>(P68+R68+T68)/3</f>
        <v>1.6666666666666667</v>
      </c>
      <c r="V68" s="25" t="s">
        <v>152</v>
      </c>
      <c r="W68" s="25" t="s">
        <v>110</v>
      </c>
      <c r="X68" s="25"/>
      <c r="Y68" s="26"/>
      <c r="Z68" s="28"/>
      <c r="AA68" s="10"/>
      <c r="AB68" s="10"/>
      <c r="AC68" s="10"/>
      <c r="AD68" s="10"/>
      <c r="AE68" s="10"/>
      <c r="AF68" s="10"/>
      <c r="AG68" s="23" t="s">
        <v>110</v>
      </c>
      <c r="AH68" s="10"/>
      <c r="AI68" s="36"/>
    </row>
    <row r="69" spans="1:35" ht="30" x14ac:dyDescent="0.25">
      <c r="A69" s="9" t="s">
        <v>88</v>
      </c>
      <c r="B69" s="10" t="s">
        <v>4</v>
      </c>
      <c r="C69" s="10" t="s">
        <v>201</v>
      </c>
      <c r="D69" s="10" t="s">
        <v>110</v>
      </c>
      <c r="E69" s="10"/>
      <c r="F69" s="10"/>
      <c r="G69" s="10">
        <v>75</v>
      </c>
      <c r="H69" s="10"/>
      <c r="I69" s="10">
        <v>96</v>
      </c>
      <c r="J69" s="10"/>
      <c r="K69" s="10">
        <v>69</v>
      </c>
      <c r="L69" s="10"/>
      <c r="M69" s="10">
        <v>85</v>
      </c>
      <c r="N69" s="10"/>
      <c r="O69" s="10">
        <v>68</v>
      </c>
      <c r="P69" s="10"/>
      <c r="Q69" s="10">
        <v>70</v>
      </c>
      <c r="R69" s="10"/>
      <c r="S69" s="10">
        <v>87</v>
      </c>
      <c r="T69" s="10"/>
      <c r="U69" s="21">
        <f>(O69+Q69+S69)/3</f>
        <v>75</v>
      </c>
      <c r="V69" s="25"/>
      <c r="W69" s="25" t="s">
        <v>110</v>
      </c>
      <c r="X69" s="25"/>
      <c r="Y69" s="26"/>
      <c r="Z69" s="28"/>
      <c r="AA69" s="10"/>
      <c r="AB69" s="23" t="s">
        <v>110</v>
      </c>
      <c r="AC69" s="10"/>
      <c r="AD69" s="23" t="s">
        <v>110</v>
      </c>
      <c r="AE69" s="10"/>
      <c r="AF69" s="23" t="s">
        <v>110</v>
      </c>
      <c r="AG69" s="23" t="s">
        <v>110</v>
      </c>
      <c r="AH69" s="10"/>
      <c r="AI69" s="36"/>
    </row>
    <row r="70" spans="1:35" x14ac:dyDescent="0.25">
      <c r="A70" s="9" t="s">
        <v>128</v>
      </c>
      <c r="B70" s="10" t="s">
        <v>130</v>
      </c>
      <c r="C70" s="10" t="s">
        <v>131</v>
      </c>
      <c r="D70" s="10" t="s">
        <v>110</v>
      </c>
      <c r="E70" s="10"/>
      <c r="F70" s="10"/>
      <c r="G70" s="10"/>
      <c r="H70" s="10"/>
      <c r="I70" s="10"/>
      <c r="J70" s="10"/>
      <c r="K70" s="10">
        <v>17</v>
      </c>
      <c r="L70" s="10"/>
      <c r="M70" s="10">
        <v>19</v>
      </c>
      <c r="N70" s="10"/>
      <c r="O70" s="10">
        <v>21</v>
      </c>
      <c r="P70" s="10"/>
      <c r="Q70" s="10">
        <v>19</v>
      </c>
      <c r="R70" s="10"/>
      <c r="S70" s="10">
        <v>13</v>
      </c>
      <c r="T70" s="10"/>
      <c r="U70" s="21">
        <f>(O70+Q70+S70)/3</f>
        <v>17.666666666666668</v>
      </c>
      <c r="V70" s="25"/>
      <c r="W70" s="25" t="s">
        <v>110</v>
      </c>
      <c r="X70" s="25"/>
      <c r="Y70" s="26"/>
      <c r="Z70" s="28"/>
      <c r="AA70" s="10"/>
      <c r="AB70" s="10"/>
      <c r="AC70" s="10"/>
      <c r="AD70" s="23" t="s">
        <v>110</v>
      </c>
      <c r="AE70" s="10"/>
      <c r="AF70" s="10"/>
      <c r="AG70" s="10"/>
      <c r="AH70" s="22" t="s">
        <v>110</v>
      </c>
      <c r="AI70" s="36"/>
    </row>
    <row r="71" spans="1:35" x14ac:dyDescent="0.25">
      <c r="A71" s="9" t="s">
        <v>129</v>
      </c>
      <c r="B71" s="10" t="s">
        <v>127</v>
      </c>
      <c r="C71" s="10" t="s">
        <v>117</v>
      </c>
      <c r="D71" s="10" t="s">
        <v>110</v>
      </c>
      <c r="E71" s="10"/>
      <c r="F71" s="10"/>
      <c r="G71" s="10"/>
      <c r="H71" s="10"/>
      <c r="I71" s="10"/>
      <c r="J71" s="10"/>
      <c r="K71" s="10">
        <v>16</v>
      </c>
      <c r="L71" s="10"/>
      <c r="M71" s="10">
        <v>16</v>
      </c>
      <c r="N71" s="10"/>
      <c r="O71" s="10">
        <v>23</v>
      </c>
      <c r="P71" s="10"/>
      <c r="Q71" s="10">
        <v>14</v>
      </c>
      <c r="R71" s="10"/>
      <c r="S71" s="10">
        <v>21</v>
      </c>
      <c r="T71" s="10"/>
      <c r="U71" s="29">
        <f>(O71+Q71+S71)/3</f>
        <v>19.333333333333332</v>
      </c>
      <c r="V71" s="25"/>
      <c r="W71" s="25" t="s">
        <v>110</v>
      </c>
      <c r="X71" s="25"/>
      <c r="Y71" s="26"/>
      <c r="Z71" s="28"/>
      <c r="AA71" s="10"/>
      <c r="AB71" s="10"/>
      <c r="AC71" s="10"/>
      <c r="AD71" s="23" t="s">
        <v>110</v>
      </c>
      <c r="AE71" s="10"/>
      <c r="AF71" s="10"/>
      <c r="AG71" s="10"/>
      <c r="AH71" s="22" t="s">
        <v>110</v>
      </c>
      <c r="AI71" s="36"/>
    </row>
    <row r="72" spans="1:35" x14ac:dyDescent="0.25">
      <c r="A72" s="9" t="s">
        <v>94</v>
      </c>
      <c r="B72" s="10" t="s">
        <v>97</v>
      </c>
      <c r="C72" s="10" t="s">
        <v>204</v>
      </c>
      <c r="D72" s="10" t="s">
        <v>110</v>
      </c>
      <c r="E72" s="10"/>
      <c r="F72" s="10"/>
      <c r="G72" s="10"/>
      <c r="H72" s="10"/>
      <c r="I72" s="10"/>
      <c r="J72" s="10">
        <v>77</v>
      </c>
      <c r="K72" s="10">
        <v>60</v>
      </c>
      <c r="L72" s="13">
        <v>123</v>
      </c>
      <c r="M72" s="13">
        <v>71</v>
      </c>
      <c r="N72" s="13"/>
      <c r="O72" s="13">
        <f>53+35</f>
        <v>88</v>
      </c>
      <c r="P72" s="13"/>
      <c r="Q72" s="13">
        <v>115</v>
      </c>
      <c r="R72" s="13"/>
      <c r="S72" s="13">
        <f>53+45</f>
        <v>98</v>
      </c>
      <c r="T72" s="13"/>
      <c r="U72" s="21">
        <f>(O72+Q72+S72)/3</f>
        <v>100.33333333333333</v>
      </c>
      <c r="V72" s="25"/>
      <c r="W72" s="25"/>
      <c r="X72" s="25"/>
      <c r="Y72" s="26"/>
      <c r="Z72" s="22"/>
      <c r="AA72" s="10"/>
      <c r="AB72" s="10"/>
      <c r="AC72" s="10"/>
      <c r="AD72" s="10"/>
      <c r="AE72" s="10"/>
      <c r="AF72" s="10"/>
      <c r="AG72" s="10"/>
      <c r="AH72" s="10"/>
      <c r="AI72" s="36"/>
    </row>
    <row r="73" spans="1:35" x14ac:dyDescent="0.25">
      <c r="A73" s="9" t="s">
        <v>125</v>
      </c>
      <c r="B73" s="10" t="s">
        <v>211</v>
      </c>
      <c r="C73" s="10" t="s">
        <v>204</v>
      </c>
      <c r="D73" s="10"/>
      <c r="E73" s="10" t="s">
        <v>110</v>
      </c>
      <c r="F73" s="10">
        <v>61</v>
      </c>
      <c r="G73" s="10"/>
      <c r="H73" s="10">
        <v>74</v>
      </c>
      <c r="I73" s="10"/>
      <c r="J73" s="10">
        <v>51</v>
      </c>
      <c r="K73" s="10"/>
      <c r="L73" s="10">
        <v>58</v>
      </c>
      <c r="M73" s="10"/>
      <c r="N73" s="10">
        <f>56</f>
        <v>56</v>
      </c>
      <c r="O73" s="10"/>
      <c r="P73" s="10">
        <v>59</v>
      </c>
      <c r="Q73" s="10"/>
      <c r="R73" s="10">
        <v>43</v>
      </c>
      <c r="S73" s="10"/>
      <c r="T73" s="10">
        <v>37</v>
      </c>
      <c r="U73" s="20">
        <f>(P73+R73+T73)/3</f>
        <v>46.333333333333336</v>
      </c>
      <c r="V73" s="25"/>
      <c r="W73" s="25" t="s">
        <v>110</v>
      </c>
      <c r="X73" s="25"/>
      <c r="Y73" s="26"/>
      <c r="Z73" s="28"/>
      <c r="AA73" s="10"/>
      <c r="AB73" s="10"/>
      <c r="AC73" s="10"/>
      <c r="AD73" s="10"/>
      <c r="AE73" s="10"/>
      <c r="AF73" s="23" t="s">
        <v>110</v>
      </c>
      <c r="AG73" s="10"/>
      <c r="AH73" s="10"/>
      <c r="AI73" s="36"/>
    </row>
    <row r="74" spans="1:35" x14ac:dyDescent="0.25">
      <c r="A74" s="9" t="s">
        <v>212</v>
      </c>
      <c r="B74" s="10" t="s">
        <v>213</v>
      </c>
      <c r="C74" s="10" t="s">
        <v>204</v>
      </c>
      <c r="D74" s="10"/>
      <c r="E74" s="10" t="s">
        <v>110</v>
      </c>
      <c r="F74" s="10"/>
      <c r="G74" s="10"/>
      <c r="H74" s="10"/>
      <c r="I74" s="10"/>
      <c r="J74" s="10"/>
      <c r="K74" s="10"/>
      <c r="L74" s="13"/>
      <c r="M74" s="13"/>
      <c r="N74" s="13"/>
      <c r="O74" s="13"/>
      <c r="P74" s="13"/>
      <c r="Q74" s="13"/>
      <c r="R74" s="13"/>
      <c r="S74" s="13"/>
      <c r="T74" s="13">
        <v>22</v>
      </c>
      <c r="U74" s="21">
        <f>T74</f>
        <v>22</v>
      </c>
      <c r="V74" s="25"/>
      <c r="W74" s="25"/>
      <c r="X74" s="25"/>
      <c r="Y74" s="26"/>
      <c r="Z74" s="22"/>
      <c r="AA74" s="10"/>
      <c r="AB74" s="10"/>
      <c r="AC74" s="10"/>
      <c r="AD74" s="10"/>
      <c r="AE74" s="10"/>
      <c r="AF74" s="10"/>
      <c r="AG74" s="10"/>
      <c r="AH74" s="10"/>
      <c r="AI74" s="36"/>
    </row>
    <row r="75" spans="1:35" x14ac:dyDescent="0.25">
      <c r="A75" s="9" t="s">
        <v>157</v>
      </c>
      <c r="B75" s="10" t="s">
        <v>156</v>
      </c>
      <c r="C75" s="10" t="s">
        <v>162</v>
      </c>
      <c r="D75" s="10" t="s">
        <v>110</v>
      </c>
      <c r="E75" s="10"/>
      <c r="F75" s="10"/>
      <c r="G75" s="10">
        <v>19</v>
      </c>
      <c r="H75" s="10"/>
      <c r="I75" s="10">
        <v>27</v>
      </c>
      <c r="J75" s="10"/>
      <c r="K75" s="10">
        <v>28</v>
      </c>
      <c r="L75" s="10"/>
      <c r="M75" s="10">
        <f>5+21</f>
        <v>26</v>
      </c>
      <c r="N75" s="10"/>
      <c r="O75" s="13">
        <v>28</v>
      </c>
      <c r="P75" s="13"/>
      <c r="Q75" s="13">
        <v>29</v>
      </c>
      <c r="R75" s="13"/>
      <c r="S75" s="13">
        <v>23</v>
      </c>
      <c r="T75" s="13"/>
      <c r="U75" s="21">
        <f>(O75+Q75+S75)/3</f>
        <v>26.666666666666668</v>
      </c>
      <c r="V75" s="25"/>
      <c r="W75" s="25" t="s">
        <v>110</v>
      </c>
      <c r="X75" s="25"/>
      <c r="Y75" s="26"/>
      <c r="Z75" s="22"/>
      <c r="AA75" s="10"/>
      <c r="AB75" s="10"/>
      <c r="AC75" s="10"/>
      <c r="AD75" s="10"/>
      <c r="AE75" s="10"/>
      <c r="AF75" s="10"/>
      <c r="AG75" s="10"/>
      <c r="AH75" s="10"/>
      <c r="AI75" s="37" t="s">
        <v>110</v>
      </c>
    </row>
    <row r="76" spans="1:35" x14ac:dyDescent="0.25">
      <c r="A76" s="9" t="s">
        <v>209</v>
      </c>
      <c r="B76" s="10" t="s">
        <v>124</v>
      </c>
      <c r="C76" s="10" t="s">
        <v>210</v>
      </c>
      <c r="D76" s="10"/>
      <c r="E76" s="10" t="s">
        <v>110</v>
      </c>
      <c r="F76" s="10"/>
      <c r="G76" s="10"/>
      <c r="H76" s="10"/>
      <c r="I76" s="10"/>
      <c r="J76" s="10"/>
      <c r="K76" s="10"/>
      <c r="L76" s="10"/>
      <c r="M76" s="10"/>
      <c r="N76" s="10"/>
      <c r="O76" s="13"/>
      <c r="P76" s="13"/>
      <c r="Q76" s="13"/>
      <c r="R76" s="13"/>
      <c r="S76" s="13"/>
      <c r="T76" s="13">
        <v>52</v>
      </c>
      <c r="U76" s="21">
        <f>T76</f>
        <v>52</v>
      </c>
      <c r="V76" s="25"/>
      <c r="W76" s="25" t="s">
        <v>110</v>
      </c>
      <c r="X76" s="23" t="s">
        <v>110</v>
      </c>
      <c r="Y76" s="26" t="s">
        <v>110</v>
      </c>
      <c r="Z76" s="22"/>
      <c r="AA76" s="10"/>
      <c r="AB76" s="10"/>
      <c r="AC76" s="22" t="s">
        <v>110</v>
      </c>
      <c r="AD76" s="10"/>
      <c r="AE76" s="10"/>
      <c r="AF76" s="10"/>
      <c r="AG76" s="10"/>
      <c r="AH76" s="10"/>
      <c r="AI76" s="36"/>
    </row>
    <row r="77" spans="1:35" x14ac:dyDescent="0.25">
      <c r="A77" s="9" t="s">
        <v>75</v>
      </c>
      <c r="B77" s="10" t="s">
        <v>47</v>
      </c>
      <c r="C77" s="10" t="s">
        <v>202</v>
      </c>
      <c r="D77" s="10" t="s">
        <v>110</v>
      </c>
      <c r="E77" s="10"/>
      <c r="F77" s="10"/>
      <c r="G77" s="10">
        <v>27</v>
      </c>
      <c r="H77" s="10"/>
      <c r="I77" s="10">
        <v>54</v>
      </c>
      <c r="J77" s="10"/>
      <c r="K77" s="10">
        <v>72</v>
      </c>
      <c r="L77" s="10"/>
      <c r="M77" s="10">
        <f>35+34</f>
        <v>69</v>
      </c>
      <c r="N77" s="10"/>
      <c r="O77" s="10">
        <f>57+36</f>
        <v>93</v>
      </c>
      <c r="P77" s="10"/>
      <c r="Q77" s="13">
        <v>64</v>
      </c>
      <c r="R77" s="13"/>
      <c r="S77" s="13">
        <f>46+23</f>
        <v>69</v>
      </c>
      <c r="T77" s="13"/>
      <c r="U77" s="21">
        <f>(O77+Q77+S77)/3</f>
        <v>75.333333333333329</v>
      </c>
      <c r="V77" s="25"/>
      <c r="W77" s="25" t="s">
        <v>110</v>
      </c>
      <c r="X77" s="25"/>
      <c r="Y77" s="26"/>
      <c r="Z77" s="22"/>
      <c r="AA77" s="10"/>
      <c r="AB77" s="10"/>
      <c r="AC77" s="10"/>
      <c r="AD77" s="10"/>
      <c r="AE77" s="10"/>
      <c r="AF77" s="10"/>
      <c r="AG77" s="10"/>
      <c r="AH77" s="10"/>
      <c r="AI77" s="38" t="s">
        <v>110</v>
      </c>
    </row>
    <row r="78" spans="1:35" x14ac:dyDescent="0.25">
      <c r="A78" s="9" t="s">
        <v>50</v>
      </c>
      <c r="B78" s="10" t="s">
        <v>48</v>
      </c>
      <c r="C78" s="10" t="s">
        <v>33</v>
      </c>
      <c r="D78" s="10" t="s">
        <v>110</v>
      </c>
      <c r="E78" s="10"/>
      <c r="F78" s="10"/>
      <c r="G78" s="13">
        <v>100</v>
      </c>
      <c r="H78" s="10"/>
      <c r="I78" s="10">
        <v>92</v>
      </c>
      <c r="J78" s="10"/>
      <c r="K78" s="13">
        <v>143</v>
      </c>
      <c r="L78" s="10"/>
      <c r="M78" s="10">
        <f>62+70</f>
        <v>132</v>
      </c>
      <c r="N78" s="10"/>
      <c r="O78" s="10">
        <f>83+91</f>
        <v>174</v>
      </c>
      <c r="P78" s="10"/>
      <c r="Q78" s="13">
        <v>183</v>
      </c>
      <c r="R78" s="13"/>
      <c r="S78" s="13">
        <f>166+111</f>
        <v>277</v>
      </c>
      <c r="T78" s="13"/>
      <c r="U78" s="21">
        <f>(O78+Q78+S78)/3</f>
        <v>211.33333333333334</v>
      </c>
      <c r="V78" s="25"/>
      <c r="W78" s="25" t="s">
        <v>110</v>
      </c>
      <c r="X78" s="25"/>
      <c r="Y78" s="26"/>
      <c r="Z78" s="22"/>
      <c r="AA78" s="10"/>
      <c r="AB78" s="10"/>
      <c r="AC78" s="10"/>
      <c r="AD78" s="10"/>
      <c r="AE78" s="10"/>
      <c r="AF78" s="10"/>
      <c r="AG78" s="10"/>
      <c r="AH78" s="10"/>
      <c r="AI78" s="37" t="s">
        <v>110</v>
      </c>
    </row>
    <row r="79" spans="1:35" ht="15.75" thickBot="1" x14ac:dyDescent="0.3">
      <c r="A79" s="15" t="s">
        <v>74</v>
      </c>
      <c r="B79" s="16" t="s">
        <v>49</v>
      </c>
      <c r="C79" s="16" t="s">
        <v>15</v>
      </c>
      <c r="D79" s="16" t="s">
        <v>110</v>
      </c>
      <c r="E79" s="16"/>
      <c r="F79" s="16"/>
      <c r="G79" s="16">
        <v>34</v>
      </c>
      <c r="H79" s="16"/>
      <c r="I79" s="16">
        <v>34</v>
      </c>
      <c r="J79" s="16"/>
      <c r="K79" s="16">
        <v>47</v>
      </c>
      <c r="L79" s="16"/>
      <c r="M79" s="16">
        <f>31+22</f>
        <v>53</v>
      </c>
      <c r="N79" s="16"/>
      <c r="O79" s="16">
        <f>19+28</f>
        <v>47</v>
      </c>
      <c r="P79" s="16"/>
      <c r="Q79" s="16">
        <v>61</v>
      </c>
      <c r="R79" s="16"/>
      <c r="S79" s="16">
        <f>18+43</f>
        <v>61</v>
      </c>
      <c r="T79" s="16"/>
      <c r="U79" s="41">
        <f>(O79+Q79+S79)/3</f>
        <v>56.333333333333336</v>
      </c>
      <c r="V79" s="42"/>
      <c r="W79" s="42" t="s">
        <v>110</v>
      </c>
      <c r="X79" s="43" t="s">
        <v>110</v>
      </c>
      <c r="Y79" s="44" t="s">
        <v>110</v>
      </c>
      <c r="Z79" s="45"/>
      <c r="AA79" s="16"/>
      <c r="AB79" s="16"/>
      <c r="AC79" s="16"/>
      <c r="AD79" s="16"/>
      <c r="AE79" s="16"/>
      <c r="AF79" s="16"/>
      <c r="AG79" s="16"/>
      <c r="AH79" s="16"/>
      <c r="AI79" s="46" t="s">
        <v>110</v>
      </c>
    </row>
    <row r="80" spans="1:35" x14ac:dyDescent="0.25">
      <c r="A80" s="6"/>
      <c r="B80" s="6"/>
      <c r="C80" s="6"/>
      <c r="D80" s="6"/>
      <c r="E80" s="6"/>
      <c r="F80" s="6"/>
      <c r="G80" s="6"/>
      <c r="H80" s="6"/>
      <c r="I80" s="6">
        <f t="shared" ref="I80:U80" si="0">SUM(I5:I79)</f>
        <v>1028</v>
      </c>
      <c r="J80" s="6">
        <f t="shared" si="0"/>
        <v>1288</v>
      </c>
      <c r="K80" s="6">
        <f t="shared" si="0"/>
        <v>1421</v>
      </c>
      <c r="L80" s="6">
        <f t="shared" si="0"/>
        <v>1474</v>
      </c>
      <c r="M80" s="6">
        <f t="shared" si="0"/>
        <v>1516</v>
      </c>
      <c r="N80" s="6">
        <f t="shared" si="0"/>
        <v>1657</v>
      </c>
      <c r="O80" s="6">
        <f t="shared" si="0"/>
        <v>1833</v>
      </c>
      <c r="P80" s="6">
        <f t="shared" si="0"/>
        <v>1853</v>
      </c>
      <c r="Q80" s="6">
        <f t="shared" si="0"/>
        <v>1765</v>
      </c>
      <c r="R80" s="6">
        <f t="shared" si="0"/>
        <v>1958</v>
      </c>
      <c r="S80" s="6">
        <f t="shared" si="0"/>
        <v>2175</v>
      </c>
      <c r="T80" s="6">
        <f t="shared" si="0"/>
        <v>1889</v>
      </c>
      <c r="U80" s="6">
        <f t="shared" si="0"/>
        <v>3763.583333333333</v>
      </c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</row>
    <row r="81" spans="1:35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  <c r="O81" s="7"/>
      <c r="P81" s="7"/>
      <c r="Q81" s="7"/>
      <c r="R81" s="7"/>
      <c r="S81" s="7"/>
      <c r="T81" s="7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</row>
  </sheetData>
  <autoFilter ref="B4:AI80">
    <sortState ref="B5:AI80">
      <sortCondition ref="B4:B80"/>
    </sortState>
  </autoFilter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jus valgemner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Steen Slåttå</dc:creator>
  <cp:lastModifiedBy>Kristin Steen Slåttå</cp:lastModifiedBy>
  <cp:lastPrinted>2012-09-03T08:07:04Z</cp:lastPrinted>
  <dcterms:created xsi:type="dcterms:W3CDTF">2011-09-28T12:12:42Z</dcterms:created>
  <dcterms:modified xsi:type="dcterms:W3CDTF">2017-04-26T11:02:49Z</dcterms:modified>
</cp:coreProperties>
</file>