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8_{786DB7A0-AA78-4341-B0FF-8E7193B941C3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MiR" sheetId="1" r:id="rId1"/>
    <sheet name="Profil" sheetId="5" r:id="rId2"/>
  </sheets>
  <definedNames>
    <definedName name="_xlnm._FilterDatabase" localSheetId="0" hidden="1">MiR!$A$2:$Q$2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9" i="1" l="1"/>
  <c r="J26" i="5"/>
  <c r="J30" i="5" s="1"/>
  <c r="F14" i="5"/>
  <c r="E14" i="5"/>
  <c r="D14" i="5"/>
  <c r="C14" i="5"/>
  <c r="H10" i="5"/>
  <c r="H14" i="5" s="1"/>
  <c r="G10" i="5"/>
  <c r="G14" i="5" s="1"/>
  <c r="F10" i="5"/>
  <c r="E10" i="5"/>
  <c r="D10" i="5"/>
  <c r="C10" i="5"/>
  <c r="D81" i="1"/>
  <c r="D76" i="1"/>
  <c r="D74" i="1"/>
  <c r="D73" i="1"/>
  <c r="D72" i="1"/>
  <c r="D69" i="1"/>
  <c r="D65" i="1"/>
  <c r="D59" i="1"/>
  <c r="D55" i="1"/>
  <c r="D52" i="1"/>
  <c r="D41" i="1"/>
  <c r="D34" i="1"/>
  <c r="D31" i="1"/>
  <c r="D29" i="1"/>
  <c r="D21" i="1"/>
  <c r="D16" i="1"/>
  <c r="D10" i="1"/>
  <c r="D8" i="1"/>
  <c r="D5" i="1"/>
  <c r="L61" i="1"/>
  <c r="L54" i="1"/>
  <c r="L53" i="1"/>
  <c r="L47" i="1"/>
  <c r="L46" i="1"/>
  <c r="L45" i="1"/>
  <c r="L42" i="1"/>
  <c r="L38" i="1"/>
  <c r="L37" i="1"/>
  <c r="L35" i="1"/>
  <c r="L28" i="1"/>
  <c r="L25" i="1"/>
  <c r="L17" i="1"/>
  <c r="L9" i="1"/>
  <c r="L18" i="1"/>
  <c r="D18" i="1" s="1"/>
  <c r="L19" i="1"/>
  <c r="H42" i="1"/>
  <c r="F42" i="1"/>
  <c r="D80" i="1"/>
  <c r="D78" i="1"/>
  <c r="D77" i="1"/>
  <c r="D75" i="1"/>
  <c r="H72" i="1"/>
  <c r="D63" i="1"/>
  <c r="D60" i="1"/>
  <c r="D57" i="1"/>
  <c r="D56" i="1"/>
  <c r="D50" i="1"/>
  <c r="D49" i="1"/>
  <c r="D48" i="1"/>
  <c r="D44" i="1"/>
  <c r="D33" i="1"/>
  <c r="D30" i="1"/>
  <c r="D24" i="1"/>
  <c r="D23" i="1"/>
  <c r="D20" i="1"/>
  <c r="D13" i="1"/>
  <c r="D7" i="1"/>
  <c r="D6" i="1"/>
  <c r="D4" i="1"/>
  <c r="F61" i="1"/>
  <c r="H61" i="1"/>
  <c r="J61" i="1"/>
  <c r="F54" i="1"/>
  <c r="H54" i="1"/>
  <c r="J54" i="1"/>
  <c r="F53" i="1"/>
  <c r="H53" i="1"/>
  <c r="J53" i="1"/>
  <c r="F47" i="1"/>
  <c r="H47" i="1"/>
  <c r="J47" i="1"/>
  <c r="F46" i="1"/>
  <c r="H46" i="1"/>
  <c r="J46" i="1"/>
  <c r="H45" i="1"/>
  <c r="J45" i="1"/>
  <c r="J42" i="1"/>
  <c r="H38" i="1"/>
  <c r="J38" i="1"/>
  <c r="J37" i="1"/>
  <c r="F35" i="1"/>
  <c r="H35" i="1"/>
  <c r="J35" i="1"/>
  <c r="H28" i="1"/>
  <c r="J28" i="1"/>
  <c r="F25" i="1"/>
  <c r="H25" i="1"/>
  <c r="J25" i="1"/>
  <c r="F19" i="1"/>
  <c r="H19" i="1"/>
  <c r="J19" i="1"/>
  <c r="D19" i="1" s="1"/>
  <c r="F17" i="1"/>
  <c r="H17" i="1"/>
  <c r="J17" i="1"/>
  <c r="F9" i="1"/>
  <c r="H9" i="1"/>
  <c r="D61" i="1" l="1"/>
  <c r="D42" i="1"/>
  <c r="D37" i="1"/>
  <c r="D38" i="1"/>
  <c r="D47" i="1"/>
  <c r="D17" i="1"/>
  <c r="D54" i="1"/>
  <c r="D28" i="1"/>
  <c r="D45" i="1"/>
  <c r="D53" i="1"/>
  <c r="D35" i="1"/>
  <c r="D46" i="1"/>
  <c r="D25" i="1"/>
  <c r="J9" i="1"/>
  <c r="D9" i="1" s="1"/>
  <c r="G68" i="1"/>
  <c r="I68" i="1"/>
  <c r="K68" i="1"/>
  <c r="G67" i="1"/>
  <c r="I67" i="1"/>
  <c r="K67" i="1"/>
  <c r="G66" i="1"/>
  <c r="I66" i="1"/>
  <c r="K66" i="1"/>
  <c r="I64" i="1"/>
  <c r="K64" i="1"/>
  <c r="G62" i="1"/>
  <c r="I62" i="1"/>
  <c r="K62" i="1"/>
  <c r="G58" i="1"/>
  <c r="I58" i="1"/>
  <c r="K58" i="1"/>
  <c r="G51" i="1"/>
  <c r="I51" i="1"/>
  <c r="K51" i="1"/>
  <c r="K43" i="1"/>
  <c r="D43" i="1" s="1"/>
  <c r="G40" i="1"/>
  <c r="I40" i="1"/>
  <c r="K40" i="1"/>
  <c r="I39" i="1"/>
  <c r="K39" i="1"/>
  <c r="G36" i="1"/>
  <c r="I36" i="1"/>
  <c r="K36" i="1"/>
  <c r="G32" i="1"/>
  <c r="I32" i="1"/>
  <c r="K32" i="1"/>
  <c r="G27" i="1"/>
  <c r="I27" i="1"/>
  <c r="K27" i="1"/>
  <c r="I26" i="1"/>
  <c r="K26" i="1"/>
  <c r="G22" i="1"/>
  <c r="I22" i="1"/>
  <c r="K22" i="1"/>
  <c r="G15" i="1"/>
  <c r="I15" i="1"/>
  <c r="K15" i="1"/>
  <c r="K11" i="1"/>
  <c r="I11" i="1"/>
  <c r="G11" i="1"/>
  <c r="G14" i="1"/>
  <c r="I14" i="1"/>
  <c r="K14" i="1"/>
  <c r="I12" i="1"/>
  <c r="K12" i="1"/>
  <c r="D15" i="1" l="1"/>
  <c r="D27" i="1"/>
  <c r="D64" i="1"/>
  <c r="D68" i="1"/>
  <c r="D12" i="1"/>
  <c r="D26" i="1"/>
  <c r="D36" i="1"/>
  <c r="D62" i="1"/>
  <c r="D67" i="1"/>
  <c r="D11" i="1"/>
  <c r="D51" i="1"/>
  <c r="D39" i="1"/>
  <c r="D14" i="1"/>
  <c r="D58" i="1"/>
  <c r="D66" i="1"/>
  <c r="D22" i="1"/>
  <c r="D32" i="1"/>
  <c r="D40" i="1"/>
</calcChain>
</file>

<file path=xl/sharedStrings.xml><?xml version="1.0" encoding="utf-8"?>
<sst xmlns="http://schemas.openxmlformats.org/spreadsheetml/2006/main" count="449" uniqueCount="332">
  <si>
    <t>Emne</t>
  </si>
  <si>
    <t>Emnenavn</t>
  </si>
  <si>
    <t xml:space="preserve">Ansvarlig faglærer </t>
  </si>
  <si>
    <t xml:space="preserve">Gjennomsnitt </t>
  </si>
  <si>
    <t>V22</t>
  </si>
  <si>
    <t>H22</t>
  </si>
  <si>
    <t>V23</t>
  </si>
  <si>
    <t>H23</t>
  </si>
  <si>
    <t>V24</t>
  </si>
  <si>
    <t>H24</t>
  </si>
  <si>
    <t>V25</t>
  </si>
  <si>
    <t>H25</t>
  </si>
  <si>
    <t xml:space="preserve">Studieprogram </t>
  </si>
  <si>
    <t xml:space="preserve">Profil </t>
  </si>
  <si>
    <t>Andre tverrfaglige samarbeid</t>
  </si>
  <si>
    <t>Samarbeidsavtale</t>
  </si>
  <si>
    <t xml:space="preserve">Annet </t>
  </si>
  <si>
    <t>JUS5010</t>
  </si>
  <si>
    <t xml:space="preserve">Juridisk praksis </t>
  </si>
  <si>
    <t xml:space="preserve">Katrine B. Hauge </t>
  </si>
  <si>
    <t>MF</t>
  </si>
  <si>
    <t>JUS5020</t>
  </si>
  <si>
    <t xml:space="preserve">Praksis i Europa </t>
  </si>
  <si>
    <t>JUS5042</t>
  </si>
  <si>
    <t xml:space="preserve">Moot Court </t>
  </si>
  <si>
    <t>Johann Ruben Leiss</t>
  </si>
  <si>
    <t>PIL (v/SPI) og (v/IELSD)</t>
  </si>
  <si>
    <t>KPTS og MF</t>
  </si>
  <si>
    <t xml:space="preserve">Emnet er 20 stp </t>
  </si>
  <si>
    <t>JUS5043</t>
  </si>
  <si>
    <t xml:space="preserve">Prosedyre </t>
  </si>
  <si>
    <t xml:space="preserve">Morten Nadim </t>
  </si>
  <si>
    <t>JUS5061</t>
  </si>
  <si>
    <t>Domsskriving og domsanalyse</t>
  </si>
  <si>
    <t xml:space="preserve">Jørn Ø. Sunde </t>
  </si>
  <si>
    <t>JUR1070/JUS5070</t>
  </si>
  <si>
    <t xml:space="preserve">Forhandlinger </t>
  </si>
  <si>
    <t xml:space="preserve">Sverre Blandhol </t>
  </si>
  <si>
    <t>PIL (v/SPI) og (v/GPDE) og (v/IELSD)</t>
  </si>
  <si>
    <t>KPTS</t>
  </si>
  <si>
    <t>JUS5080</t>
  </si>
  <si>
    <t>Data Science for Lawyers</t>
  </si>
  <si>
    <t xml:space="preserve">Maglcolm Langford </t>
  </si>
  <si>
    <t>ICTL (v)</t>
  </si>
  <si>
    <t>JT</t>
  </si>
  <si>
    <t>JUR1120/JUS5120</t>
  </si>
  <si>
    <t>Utlendingsrett</t>
  </si>
  <si>
    <t xml:space="preserve">Kjetil M. Larsen </t>
  </si>
  <si>
    <t>IRV</t>
  </si>
  <si>
    <t>JUR1130/JUS5130</t>
  </si>
  <si>
    <t>Demokrati og rettsstat: krise og krig</t>
  </si>
  <si>
    <t xml:space="preserve">Benedikte M. Høgberg </t>
  </si>
  <si>
    <t>JUS5134</t>
  </si>
  <si>
    <t>International Law of Peace</t>
  </si>
  <si>
    <t>Cecilia Marcela Bailliet</t>
  </si>
  <si>
    <t xml:space="preserve">Emnet går annethvert år </t>
  </si>
  <si>
    <t>PIL (so/SPI/GPDE) og HUMR (v)</t>
  </si>
  <si>
    <t>IRM</t>
  </si>
  <si>
    <t>JUR1220/JUS5220</t>
  </si>
  <si>
    <t>Bygge- og entrepriserett</t>
  </si>
  <si>
    <t>Herman Bruserud</t>
  </si>
  <si>
    <t>RBM</t>
  </si>
  <si>
    <t>JUR1230/JUS5230</t>
  </si>
  <si>
    <t>International Commercial Law</t>
  </si>
  <si>
    <t>Giuditta Cordero Moss</t>
  </si>
  <si>
    <t>PIL (v/IELSD)</t>
  </si>
  <si>
    <t>KPTS og SFT</t>
  </si>
  <si>
    <t>JUS5251</t>
  </si>
  <si>
    <t>Eiendomsrett og ekspropriasjon</t>
  </si>
  <si>
    <t>Katrine Broch Hauge</t>
  </si>
  <si>
    <t>JUR1280/JUS5280</t>
  </si>
  <si>
    <t>Internasjonal privatrett</t>
  </si>
  <si>
    <t>JUR1285</t>
  </si>
  <si>
    <t>Innføring i markeds-, konkurranse- og immaterialrett (Markedsrett)</t>
  </si>
  <si>
    <t>Ole-Andreas Rognstad</t>
  </si>
  <si>
    <t>MIK</t>
  </si>
  <si>
    <t>Innovasjonssertifikatet (v)</t>
  </si>
  <si>
    <t>JUR1310/JUS5310</t>
  </si>
  <si>
    <t>EU Competition law</t>
  </si>
  <si>
    <t>Erling Hjelmeng</t>
  </si>
  <si>
    <t>JUS5320</t>
  </si>
  <si>
    <t>EØS-rett: næringsliv og arbeidsrett i EUs indre marked</t>
  </si>
  <si>
    <t>Finn Arnesen</t>
  </si>
  <si>
    <t>IRV og MIK</t>
  </si>
  <si>
    <t>JUS5406</t>
  </si>
  <si>
    <t>Maritime Law</t>
  </si>
  <si>
    <t>Alla Pozdnakova</t>
  </si>
  <si>
    <t>MARL (o)</t>
  </si>
  <si>
    <t>JUR1412/JUS5412</t>
  </si>
  <si>
    <t xml:space="preserve">Energy law </t>
  </si>
  <si>
    <t xml:space="preserve">	Catherine Banet</t>
  </si>
  <si>
    <t>JUS5420</t>
  </si>
  <si>
    <t>Forsikringsrett</t>
  </si>
  <si>
    <t>Birgitte Hagland</t>
  </si>
  <si>
    <t>SFT</t>
  </si>
  <si>
    <t>Forsikringsretts-avtalen (august 2029) 2019/12129</t>
  </si>
  <si>
    <t>JUS5425</t>
  </si>
  <si>
    <t>Ressurs- og konsesjonsrett</t>
  </si>
  <si>
    <t>Ivar Alvik</t>
  </si>
  <si>
    <t>JUR1430/JUS5430</t>
  </si>
  <si>
    <t>Tilvirkningskontrakter (dynamisk kontraktsrett)</t>
  </si>
  <si>
    <t>Sondre Dyrland</t>
  </si>
  <si>
    <t>JUR1435/JUS5435</t>
  </si>
  <si>
    <t>Bærekraftig arealforvaltning: plan- og bygningsrett</t>
  </si>
  <si>
    <t>JUR1441/JUS5441</t>
  </si>
  <si>
    <t>EU External relations</t>
  </si>
  <si>
    <t>Christophe Hillion</t>
  </si>
  <si>
    <t>JUR1450/JUS5450</t>
  </si>
  <si>
    <t>Marine Insurance</t>
  </si>
  <si>
    <t>JUS5501</t>
  </si>
  <si>
    <t>Rettslig bevisteori</t>
  </si>
  <si>
    <t xml:space="preserve">Anders Løvlie </t>
  </si>
  <si>
    <t>JUS5502</t>
  </si>
  <si>
    <t>Lovgivningslære/Lovlab</t>
  </si>
  <si>
    <t>Jon Christian F. Nordrum</t>
  </si>
  <si>
    <t>NAV-avtalen (juni 2031)</t>
  </si>
  <si>
    <t>JUS5503</t>
  </si>
  <si>
    <t>Human Rights and Counter-Terrorism: Striking a Balance?</t>
  </si>
  <si>
    <t>JUR1504/JUS5504</t>
  </si>
  <si>
    <t>Konflikthåndtering</t>
  </si>
  <si>
    <t>Sverre Blandhol</t>
  </si>
  <si>
    <t>JUS5506</t>
  </si>
  <si>
    <t>Politi og påtalerett</t>
  </si>
  <si>
    <t>Synnøve Ugelvik</t>
  </si>
  <si>
    <t>JUS5507</t>
  </si>
  <si>
    <t xml:space="preserve">Juss og kritikk </t>
  </si>
  <si>
    <t>Christoffer C. Eriksen</t>
  </si>
  <si>
    <t>JUR1511/JUS5511</t>
  </si>
  <si>
    <t>Individuell arbeidsrett</t>
  </si>
  <si>
    <t>Marianne Jenum Hotvedt</t>
  </si>
  <si>
    <t>IRV, MIK og SFT</t>
  </si>
  <si>
    <t>OLA-programmet</t>
  </si>
  <si>
    <t>Arfa-avtalen (2027)</t>
  </si>
  <si>
    <t>JUR1512/JUS5512</t>
  </si>
  <si>
    <t>Kollektiv arbeidsrett</t>
  </si>
  <si>
    <t>Johann Mulder</t>
  </si>
  <si>
    <t>JUR1520/JUS5520</t>
  </si>
  <si>
    <t xml:space="preserve">International Environmental Law and Sustainability </t>
  </si>
  <si>
    <t>Christina Voigt</t>
  </si>
  <si>
    <t>PIL (v/SPI) og (so/GPDE) og (v/IELSD) og HUMR (v)</t>
  </si>
  <si>
    <t>JUR1525/JUS5525</t>
  </si>
  <si>
    <t>Sustainable Business, Finance &amp; Circular Economy</t>
  </si>
  <si>
    <t>Beate Sjåfjell</t>
  </si>
  <si>
    <t>PIL (v/IELSD) og HUMR (v)</t>
  </si>
  <si>
    <t>MIK, RBM og SFT</t>
  </si>
  <si>
    <t>JUR1528/JUS5528</t>
  </si>
  <si>
    <t>Corporate Sustainability Law</t>
  </si>
  <si>
    <t>JUR1530/JUS5530</t>
  </si>
  <si>
    <t>Refugee and Asylum Law</t>
  </si>
  <si>
    <t>IRV og IRM</t>
  </si>
  <si>
    <t>JUS5540</t>
  </si>
  <si>
    <t>Public international law</t>
  </si>
  <si>
    <t>PIL (o) og HUMR (v)</t>
  </si>
  <si>
    <t>JUR1550/JUS5550</t>
  </si>
  <si>
    <t xml:space="preserve">Helserett </t>
  </si>
  <si>
    <t>Anne Kjersti Befring</t>
  </si>
  <si>
    <t>JUR1565/JUS5565</t>
  </si>
  <si>
    <t>EU Constitutional Law and Democracy</t>
  </si>
  <si>
    <t>JUS5570</t>
  </si>
  <si>
    <t xml:space="preserve">International Criminal Law </t>
  </si>
  <si>
    <t>Jo Stigen</t>
  </si>
  <si>
    <t>PIL (so/SPI) og (v/GPDE) og HUMR (v)</t>
  </si>
  <si>
    <t>IRM og KPTS</t>
  </si>
  <si>
    <t>JUR1580/JUS5580</t>
  </si>
  <si>
    <t>Kommunalrett</t>
  </si>
  <si>
    <t>Sigrid Stokstad</t>
  </si>
  <si>
    <t>JUR1590/JUS5590</t>
  </si>
  <si>
    <t>Likestillings- og diskrimineringsrett</t>
  </si>
  <si>
    <t>Vibeke Blaker Strand</t>
  </si>
  <si>
    <t>JUR1630/JUS5630</t>
  </si>
  <si>
    <t>Privacy and data protection</t>
  </si>
  <si>
    <t>Lee Andrew Bygrave</t>
  </si>
  <si>
    <t>IRV, JT og MIK</t>
  </si>
  <si>
    <t>Innovasjonssertifikatet (v) og Digitaliseringssertifikatet (v)</t>
  </si>
  <si>
    <t>JUS5645/N</t>
  </si>
  <si>
    <t>Data Law/Datarett</t>
  </si>
  <si>
    <t>Inger B. Ørstavik</t>
  </si>
  <si>
    <t>ICTL (v) og PIL (v/SPI)</t>
  </si>
  <si>
    <t>JT og MIK</t>
  </si>
  <si>
    <t>JUS5650</t>
  </si>
  <si>
    <t>Cybersecurity Regulation</t>
  </si>
  <si>
    <t>Lee Bygrave</t>
  </si>
  <si>
    <t>ICTL (o) og PIL (so/SPI)</t>
  </si>
  <si>
    <t>JUS5680</t>
  </si>
  <si>
    <t>Transnational Platform Governance</t>
  </si>
  <si>
    <t>Tobias Mahler</t>
  </si>
  <si>
    <t>ICTL (o) og PIL (v/SPI)</t>
  </si>
  <si>
    <t>JUR1671/JUS5671</t>
  </si>
  <si>
    <t xml:space="preserve">Legal Technology: Artificial Intelligence and Law </t>
  </si>
  <si>
    <t xml:space="preserve">Malcolm Langford </t>
  </si>
  <si>
    <t>JUS5690</t>
  </si>
  <si>
    <t>Robot Regulation</t>
  </si>
  <si>
    <t>Tobias Mahler og Kristin Bergtora Sandvik</t>
  </si>
  <si>
    <t>JUR1710/JUS5710</t>
  </si>
  <si>
    <t>International Human Rights Law: Institutions and Procedures</t>
  </si>
  <si>
    <t>Maria Lundberg</t>
  </si>
  <si>
    <t>JUR1730/JUS5730</t>
  </si>
  <si>
    <t>International Humanitarian Law (The Law of Armed Conflict)</t>
  </si>
  <si>
    <t>Gentian Zyberi</t>
  </si>
  <si>
    <t>JUS5810</t>
  </si>
  <si>
    <t>Opphavsrett</t>
  </si>
  <si>
    <t>JUS5815</t>
  </si>
  <si>
    <t>Transaksjonsrett</t>
  </si>
  <si>
    <t>Margrethe B. Christoffersen</t>
  </si>
  <si>
    <t>JUS5818</t>
  </si>
  <si>
    <t>Insolvensrett</t>
  </si>
  <si>
    <t>Arne Tjaum</t>
  </si>
  <si>
    <t>JUR1820/JUS5820</t>
  </si>
  <si>
    <t>Patent- og varemerkerett</t>
  </si>
  <si>
    <t>Inger Berg Ørstavik</t>
  </si>
  <si>
    <t>JUS5850</t>
  </si>
  <si>
    <t>International Trade Law</t>
  </si>
  <si>
    <t>Ole Kristian Fauchald</t>
  </si>
  <si>
    <t>PIL (o/IELSD) og HUMR (v)</t>
  </si>
  <si>
    <t>JUS5851</t>
  </si>
  <si>
    <t>International Investment Law &amp; Arbitration</t>
  </si>
  <si>
    <t>Malcolm Langford</t>
  </si>
  <si>
    <t>PIL (o/IELSD)</t>
  </si>
  <si>
    <t>KPTS og MIK</t>
  </si>
  <si>
    <t>JUR1880/JUS5880</t>
  </si>
  <si>
    <t>Financial Market Law and Regulation</t>
  </si>
  <si>
    <t>Astrid Iversen</t>
  </si>
  <si>
    <t>JUR1910/JUS5910</t>
  </si>
  <si>
    <t>Women's Law and Human Rights</t>
  </si>
  <si>
    <t>Andrea Vige Grønningsæter</t>
  </si>
  <si>
    <t>JUR1911/JUS5911</t>
  </si>
  <si>
    <t>International Climate Change Law</t>
  </si>
  <si>
    <t>JUR1932/JUS5932</t>
  </si>
  <si>
    <t>Law of Obligations in a Comparative-Historical Perspective</t>
  </si>
  <si>
    <t>Johannes Hygen Meyer</t>
  </si>
  <si>
    <t>JUS5940</t>
  </si>
  <si>
    <t>Offentlige anskaffelser</t>
  </si>
  <si>
    <t>MIK og RBM</t>
  </si>
  <si>
    <t>JUR1960/JUS5960</t>
  </si>
  <si>
    <t>Trygderett</t>
  </si>
  <si>
    <t>Ingunn Ikdahl</t>
  </si>
  <si>
    <t>JUR1970/JUS5970</t>
  </si>
  <si>
    <t>Barnerett</t>
  </si>
  <si>
    <t xml:space="preserve">Merete Havre </t>
  </si>
  <si>
    <t>JUR1981/JUS5981</t>
  </si>
  <si>
    <t>Skatterett I, grunnleggende skatterett</t>
  </si>
  <si>
    <t>Anders Mikelsen</t>
  </si>
  <si>
    <t xml:space="preserve">Skatteretts-avtalen (juni 2030) 2020/2504 </t>
  </si>
  <si>
    <t>JUS5983</t>
  </si>
  <si>
    <t>Skatterett II Selskapsskatterett og internasjonal skatterett</t>
  </si>
  <si>
    <t xml:space="preserve">Andre emner </t>
  </si>
  <si>
    <t>JFSPR1211/JFSPR5211</t>
  </si>
  <si>
    <t>Fransk for jurister</t>
  </si>
  <si>
    <t>Catherine Banet</t>
  </si>
  <si>
    <t>emnet gikk ikke</t>
  </si>
  <si>
    <t xml:space="preserve">Emnet er 5 stp </t>
  </si>
  <si>
    <t>JFSPR1311/JFSPR5311</t>
  </si>
  <si>
    <t>Tysk for jurister</t>
  </si>
  <si>
    <t>JFVU1100</t>
  </si>
  <si>
    <t>Retten og den digitale velferdsstaten</t>
  </si>
  <si>
    <t>Jon Christian F. Nordrum og Ingunn Ikhdal</t>
  </si>
  <si>
    <t>EVU-emne</t>
  </si>
  <si>
    <t>JFVU1300</t>
  </si>
  <si>
    <t>Arbeidsrett</t>
  </si>
  <si>
    <t>Marianne Jenum Hotvedt og Johann Mulder</t>
  </si>
  <si>
    <t>JUROFF1000</t>
  </si>
  <si>
    <t>Innføring i juss</t>
  </si>
  <si>
    <t>går første gang H25</t>
  </si>
  <si>
    <t>40-gruppe (o)</t>
  </si>
  <si>
    <t xml:space="preserve">4 av timene tilbys også som introduksjonsundervisning for alle norske ba-valgemner. Emnet går både høst og vår.  </t>
  </si>
  <si>
    <t>JUROFF1210</t>
  </si>
  <si>
    <t>Introduksjon i forvaltningsrett</t>
  </si>
  <si>
    <t>OAL-ba (o), 40JUS-gruppe (so) og 40DRI-gruppe (o)</t>
  </si>
  <si>
    <t>JUROFF1410</t>
  </si>
  <si>
    <t>Folkerett</t>
  </si>
  <si>
    <t xml:space="preserve">Jo M. Stigen </t>
  </si>
  <si>
    <t>INT-ba (o) og 40JUS-gruppe (so)</t>
  </si>
  <si>
    <t>JUROFF1500</t>
  </si>
  <si>
    <t>Strafferett</t>
  </si>
  <si>
    <t>RINF1100</t>
  </si>
  <si>
    <t>Ytringsfrihet, medie- og nettregulering</t>
  </si>
  <si>
    <t>RINF1200</t>
  </si>
  <si>
    <t>Opphavsrett og beslektede rettigheter</t>
  </si>
  <si>
    <t xml:space="preserve">Ole-Andreas Rognstad </t>
  </si>
  <si>
    <t>Studenter som har valgt nye profiler</t>
  </si>
  <si>
    <t>V26</t>
  </si>
  <si>
    <t>Tall for V26 hentet ut 12.02.26</t>
  </si>
  <si>
    <t>Profil: Individvern, rettsstat og velferd</t>
  </si>
  <si>
    <t>Profil: Internasjonal rett og menneskerettigheter</t>
  </si>
  <si>
    <t>Profil: Jus og teknologi</t>
  </si>
  <si>
    <t>Profil: Konflikthåndtering og prosess, tvist og straff</t>
  </si>
  <si>
    <t>Profil: Marked, innovasjon og konkurranse</t>
  </si>
  <si>
    <t>Profil: Ressursforvaltning, bærekraft og miljø</t>
  </si>
  <si>
    <t>Profil: Selskap, transaksjon og finans</t>
  </si>
  <si>
    <t xml:space="preserve">Totalt </t>
  </si>
  <si>
    <t xml:space="preserve">Antall aktive studenter med bekreftet utdanningplan </t>
  </si>
  <si>
    <t xml:space="preserve">Andel studenter som velger profil </t>
  </si>
  <si>
    <t xml:space="preserve">Antall studenter med profil på vitnemål </t>
  </si>
  <si>
    <t xml:space="preserve">Gamle profiler </t>
  </si>
  <si>
    <t xml:space="preserve">Antall kandidater med vitnemål </t>
  </si>
  <si>
    <t xml:space="preserve">Andel studenter med profil på vitnemål </t>
  </si>
  <si>
    <t>INT-ba (SO, fordypning jus)</t>
  </si>
  <si>
    <t>PIL (v/SPI), (v/IELSD) og INT-ba (SO, fordypning jus)</t>
  </si>
  <si>
    <t>PIL (so/SPI) og  (V/GPDE) og HUMR (v)</t>
  </si>
  <si>
    <t>PIL (v/SPI), (so/GPDE), HUMR (v) og INT-ba (SO, fordypning jus)</t>
  </si>
  <si>
    <t>ICTL (o), PIL (so/SPI), 40DRI-gruppe (o) og INT-ba (SO, fordypning jus)</t>
  </si>
  <si>
    <t>PIL (so/SPI), HUMR (v) og INT-ba (SO, fordypning jus)</t>
  </si>
  <si>
    <t>PIL (so/GPDE), HUMR (v) og INT-ba (SO, fordypning jus)</t>
  </si>
  <si>
    <t>KRIM-ba (o) og INT-ba (SO, fordypning jus)</t>
  </si>
  <si>
    <t xml:space="preserve">Profiler </t>
  </si>
  <si>
    <t>KPTS=Konflikthåndtering og prosess, tvist og straff</t>
  </si>
  <si>
    <t>IRV=Individvern, rettsstat og velferd</t>
  </si>
  <si>
    <t>IRM=Internasjonal rett og menneskerettigheter</t>
  </si>
  <si>
    <t>RBM=Ressursforvaltning, bærekraft og miljø</t>
  </si>
  <si>
    <t>JT=Jus og teknologi</t>
  </si>
  <si>
    <t>MIK=Marked, innovasjon og konkurranse</t>
  </si>
  <si>
    <t>MF=Metode og ferdighetsemner</t>
  </si>
  <si>
    <t>STF=Selskap, transaksjon og finans</t>
  </si>
  <si>
    <t>Studieprogram Jurfak</t>
  </si>
  <si>
    <t>HUMR=The Theory and Practice of Human Rights</t>
  </si>
  <si>
    <t>ICTL=Information and Communication Technology Law</t>
  </si>
  <si>
    <t>MARL=Maritime Law</t>
  </si>
  <si>
    <t>PIL=Public international law</t>
  </si>
  <si>
    <t>(PIL) IELSD=International Economic Law: Sustainable Development and International Environmental Law</t>
  </si>
  <si>
    <t>(PIL) SPI=Security, Peace &amp; International Law</t>
  </si>
  <si>
    <t>(PIL) GPDE=Gender, Peace, Development, &amp; Environment (lagt ned?)</t>
  </si>
  <si>
    <t xml:space="preserve">Andre emnegrupper og studieprogrammer </t>
  </si>
  <si>
    <t>40JUS-gruppe =Juridiske fag</t>
  </si>
  <si>
    <t>40DRI-gruppe=Forvaltningsinformatikk</t>
  </si>
  <si>
    <t>KRIM-ba=Kriminologi</t>
  </si>
  <si>
    <t>INT-ba=Internasjonale studier</t>
  </si>
  <si>
    <t>OLA-ba=Offentlig administrasjon og ledelse</t>
  </si>
  <si>
    <t>Forkortelser</t>
  </si>
  <si>
    <t>v=valgfritt</t>
  </si>
  <si>
    <t>so=semiobligatorisk</t>
  </si>
  <si>
    <t>o=obligatorisk</t>
  </si>
  <si>
    <t>Mads Andenæs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</si>
</sst>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1" fillId="0" borderId="0" applyNumberFormat="0" applyFill="0" applyBorder="0" applyAlignment="0" applyProtection="0"/>
  </cellStyleXfs>
  <cellXfs count="46">
    <xf numFmtId="0" fontId="0" fillId="0" borderId="0" xfId="0"/>
    <xf numFmtId="0" fontId="3" fillId="0" borderId="0" xfId="0" applyFont="1"/>
    <xf numFmtId="0" fontId="3" fillId="0" borderId="1" xfId="0" applyFont="1" applyBorder="1"/>
    <xf numFmtId="0" fontId="1" fillId="0" borderId="0" xfId="0" applyFont="1"/>
    <xf numFmtId="0" fontId="6" fillId="0" borderId="0" xfId="0" applyFont="1"/>
    <xf numFmtId="9" fontId="1" fillId="0" borderId="0" xfId="0" applyNumberFormat="1" applyFont="1"/>
    <xf numFmtId="0" fontId="5" fillId="0" borderId="1" xfId="0" applyFont="1" applyBorder="1" applyAlignment="1">
      <alignment wrapText="1"/>
    </xf>
    <xf numFmtId="1" fontId="5" fillId="0" borderId="1" xfId="0" applyNumberFormat="1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2" applyFont="1" applyBorder="1" applyAlignment="1">
      <alignment wrapText="1"/>
    </xf>
    <xf numFmtId="0" fontId="3" fillId="0" borderId="0" xfId="0" applyFont="1" applyAlignment="1">
      <alignment wrapText="1"/>
    </xf>
    <xf numFmtId="0" fontId="4" fillId="0" borderId="1" xfId="2" applyFont="1" applyBorder="1" applyAlignment="1">
      <alignment wrapText="1"/>
    </xf>
    <xf numFmtId="1" fontId="3" fillId="0" borderId="1" xfId="0" applyNumberFormat="1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2" applyFont="1" applyBorder="1"/>
    <xf numFmtId="1" fontId="4" fillId="0" borderId="1" xfId="2" applyNumberFormat="1" applyFont="1" applyBorder="1" applyAlignment="1">
      <alignment wrapText="1"/>
    </xf>
    <xf numFmtId="0" fontId="2" fillId="0" borderId="1" xfId="1" applyFont="1" applyBorder="1" applyAlignment="1">
      <alignment wrapText="1"/>
    </xf>
    <xf numFmtId="1" fontId="4" fillId="0" borderId="1" xfId="1" applyNumberFormat="1" applyFont="1" applyBorder="1" applyAlignment="1">
      <alignment wrapText="1"/>
    </xf>
    <xf numFmtId="0" fontId="9" fillId="0" borderId="2" xfId="0" applyFont="1" applyBorder="1"/>
    <xf numFmtId="0" fontId="9" fillId="0" borderId="3" xfId="0" applyFont="1" applyBorder="1"/>
    <xf numFmtId="0" fontId="9" fillId="0" borderId="4" xfId="0" applyFont="1" applyBorder="1"/>
    <xf numFmtId="0" fontId="1" fillId="0" borderId="5" xfId="2" applyBorder="1"/>
    <xf numFmtId="0" fontId="0" fillId="0" borderId="1" xfId="0" applyBorder="1"/>
    <xf numFmtId="0" fontId="0" fillId="0" borderId="6" xfId="0" applyBorder="1"/>
    <xf numFmtId="0" fontId="1" fillId="0" borderId="7" xfId="2" applyBorder="1"/>
    <xf numFmtId="0" fontId="0" fillId="2" borderId="8" xfId="0" applyFill="1" applyBorder="1"/>
    <xf numFmtId="0" fontId="0" fillId="2" borderId="9" xfId="0" applyFill="1" applyBorder="1"/>
    <xf numFmtId="0" fontId="0" fillId="0" borderId="2" xfId="0" applyBorder="1"/>
    <xf numFmtId="164" fontId="0" fillId="2" borderId="8" xfId="0" applyNumberFormat="1" applyFill="1" applyBorder="1"/>
    <xf numFmtId="164" fontId="0" fillId="2" borderId="9" xfId="0" applyNumberFormat="1" applyFill="1" applyBorder="1"/>
    <xf numFmtId="0" fontId="10" fillId="0" borderId="0" xfId="0" applyFont="1"/>
    <xf numFmtId="0" fontId="8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" fillId="0" borderId="5" xfId="0" applyFont="1" applyBorder="1"/>
    <xf numFmtId="0" fontId="6" fillId="0" borderId="1" xfId="0" applyFont="1" applyBorder="1"/>
    <xf numFmtId="0" fontId="6" fillId="0" borderId="6" xfId="0" applyFont="1" applyBorder="1"/>
    <xf numFmtId="0" fontId="7" fillId="0" borderId="1" xfId="0" applyFont="1" applyBorder="1"/>
    <xf numFmtId="0" fontId="6" fillId="3" borderId="1" xfId="0" applyFont="1" applyFill="1" applyBorder="1"/>
    <xf numFmtId="0" fontId="0" fillId="2" borderId="6" xfId="0" applyFill="1" applyBorder="1"/>
    <xf numFmtId="0" fontId="6" fillId="0" borderId="5" xfId="0" applyFont="1" applyBorder="1"/>
    <xf numFmtId="0" fontId="6" fillId="0" borderId="7" xfId="0" applyFont="1" applyBorder="1"/>
    <xf numFmtId="0" fontId="6" fillId="3" borderId="8" xfId="0" applyFont="1" applyFill="1" applyBorder="1"/>
    <xf numFmtId="165" fontId="0" fillId="2" borderId="9" xfId="0" applyNumberFormat="1" applyFill="1" applyBorder="1"/>
    <xf numFmtId="0" fontId="5" fillId="0" borderId="0" xfId="0" applyFont="1"/>
    <xf numFmtId="0" fontId="11" fillId="0" borderId="0" xfId="3"/>
  </cellXfs>
  <cellStyles count="4">
    <cellStyle name="Hyperkobling" xfId="3" builtinId="8"/>
    <cellStyle name="Normal" xfId="0" builtinId="0"/>
    <cellStyle name="Normal 2" xfId="2" xr:uid="{00000000-0005-0000-0000-000001000000}"/>
    <cellStyle name="Normal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uio.no/studier/program/jus/oppbygging/profiler/metode--og-ferdighetsemner.html" TargetMode="External"/><Relationship Id="rId13" Type="http://schemas.openxmlformats.org/officeDocument/2006/relationships/hyperlink" Target="https://www.uio.no/english/studies/programmes/humanrights-master/index.html" TargetMode="External"/><Relationship Id="rId18" Type="http://schemas.openxmlformats.org/officeDocument/2006/relationships/hyperlink" Target="https://www.uio.no/studier/program/kriminologi/" TargetMode="External"/><Relationship Id="rId3" Type="http://schemas.openxmlformats.org/officeDocument/2006/relationships/hyperlink" Target="https://www.uio.no/studier/program/jus/oppbygging/profiler/jus-og-teknologi.html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s://www.uio.no/studier/program/jus/oppbygging/profiler/selskap-transaksjon-og-finans.html" TargetMode="External"/><Relationship Id="rId12" Type="http://schemas.openxmlformats.org/officeDocument/2006/relationships/hyperlink" Target="https://www.uio.no/english/studies/programmes/pubint-master/programme-options/spi/index.html" TargetMode="External"/><Relationship Id="rId17" Type="http://schemas.openxmlformats.org/officeDocument/2006/relationships/hyperlink" Target="https://www.uio.no/studier/emnegrupper/jus/40DRI-MNB/index.html" TargetMode="External"/><Relationship Id="rId2" Type="http://schemas.openxmlformats.org/officeDocument/2006/relationships/hyperlink" Target="https://www.uio.no/studier/program/jus/oppbygging/profiler/internasjonal-rett-og-menneskerettigheter.html" TargetMode="External"/><Relationship Id="rId16" Type="http://schemas.openxmlformats.org/officeDocument/2006/relationships/hyperlink" Target="https://www.uio.no/studier/emnegrupper/jus/40JUS-001/" TargetMode="External"/><Relationship Id="rId20" Type="http://schemas.openxmlformats.org/officeDocument/2006/relationships/hyperlink" Target="https://www.uio.no/studier/program/offadm/" TargetMode="External"/><Relationship Id="rId1" Type="http://schemas.openxmlformats.org/officeDocument/2006/relationships/hyperlink" Target="https://www.uio.no/studier/program/jus/oppbygging/profiler/individvern-rettsstat-og-velferd.html" TargetMode="External"/><Relationship Id="rId6" Type="http://schemas.openxmlformats.org/officeDocument/2006/relationships/hyperlink" Target="https://www.uio.no/studier/program/jus/oppbygging/profiler/ressursforvaltning-berekraft-og-miljo.html" TargetMode="External"/><Relationship Id="rId11" Type="http://schemas.openxmlformats.org/officeDocument/2006/relationships/hyperlink" Target="https://www.uio.no/english/studies/programmes/pubint-master/programme-options/gpde/index.html" TargetMode="External"/><Relationship Id="rId5" Type="http://schemas.openxmlformats.org/officeDocument/2006/relationships/hyperlink" Target="https://www.uio.no/studier/program/jus/oppbygging/profiler/marked-innovasjon-og-konkurranse.html" TargetMode="External"/><Relationship Id="rId15" Type="http://schemas.openxmlformats.org/officeDocument/2006/relationships/hyperlink" Target="https://www.uio.no/english/studies/programmes/maritime-master/index.html" TargetMode="External"/><Relationship Id="rId10" Type="http://schemas.openxmlformats.org/officeDocument/2006/relationships/hyperlink" Target="https://www.uio.no/english/studies/programmes/pubint-master/programme-options/ielsd/index.html" TargetMode="External"/><Relationship Id="rId19" Type="http://schemas.openxmlformats.org/officeDocument/2006/relationships/hyperlink" Target="https://www.uio.no/studier/program/internasjonale-studier/oppbygging/anbefalt_lop_jus.html" TargetMode="External"/><Relationship Id="rId4" Type="http://schemas.openxmlformats.org/officeDocument/2006/relationships/hyperlink" Target="https://www.uio.no/studier/program/jus/oppbygging/profiler/konflikthandtering-og-prosess-tvist-og-straff.html" TargetMode="External"/><Relationship Id="rId9" Type="http://schemas.openxmlformats.org/officeDocument/2006/relationships/hyperlink" Target="https://www.uio.no/english/studies/programmes/pubint-master/index.html" TargetMode="External"/><Relationship Id="rId14" Type="http://schemas.openxmlformats.org/officeDocument/2006/relationships/hyperlink" Target="https://www.uio.no/english/studies/programmes/ictlaw-master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A112"/>
  <sheetViews>
    <sheetView tabSelected="1" zoomScaleNormal="100" workbookViewId="0">
      <selection activeCell="D80" sqref="D80"/>
    </sheetView>
  </sheetViews>
  <sheetFormatPr baseColWidth="10" defaultColWidth="8.7109375" defaultRowHeight="12.75" x14ac:dyDescent="0.2"/>
  <cols>
    <col min="1" max="1" width="15.7109375" style="1" customWidth="1"/>
    <col min="2" max="2" width="42.28515625" style="1" customWidth="1"/>
    <col min="3" max="3" width="21.85546875" style="1" customWidth="1"/>
    <col min="4" max="4" width="11.7109375" style="1" customWidth="1"/>
    <col min="5" max="5" width="3.85546875" style="1" customWidth="1"/>
    <col min="6" max="6" width="5.28515625" style="1" customWidth="1"/>
    <col min="7" max="7" width="4.28515625" style="1" customWidth="1"/>
    <col min="8" max="8" width="4" style="1" customWidth="1"/>
    <col min="9" max="9" width="4.28515625" style="1" customWidth="1"/>
    <col min="10" max="10" width="4" style="1" customWidth="1"/>
    <col min="11" max="12" width="4.28515625" style="1" customWidth="1"/>
    <col min="13" max="13" width="20.28515625" style="1" customWidth="1"/>
    <col min="14" max="16" width="11.5703125" style="1" customWidth="1"/>
    <col min="17" max="17" width="22.5703125" style="1" customWidth="1"/>
    <col min="18" max="16384" width="8.7109375" style="1"/>
  </cols>
  <sheetData>
    <row r="2" spans="1:17" ht="38.25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6" t="s">
        <v>16</v>
      </c>
    </row>
    <row r="3" spans="1:17" x14ac:dyDescent="0.2">
      <c r="A3" s="6"/>
      <c r="B3" s="6"/>
      <c r="C3" s="6"/>
      <c r="D3" s="7"/>
      <c r="E3" s="8"/>
      <c r="F3" s="6"/>
      <c r="G3" s="6"/>
      <c r="H3" s="6"/>
      <c r="I3" s="6"/>
      <c r="J3" s="6"/>
      <c r="K3" s="6"/>
      <c r="L3" s="6"/>
      <c r="M3" s="8"/>
      <c r="N3" s="8"/>
      <c r="O3" s="8"/>
      <c r="P3" s="8"/>
      <c r="Q3" s="8"/>
    </row>
    <row r="4" spans="1:17" x14ac:dyDescent="0.2">
      <c r="A4" s="9" t="s">
        <v>17</v>
      </c>
      <c r="B4" s="8" t="s">
        <v>18</v>
      </c>
      <c r="C4" s="8" t="s">
        <v>19</v>
      </c>
      <c r="D4" s="7">
        <f>(K4+J4+I4)/3</f>
        <v>13</v>
      </c>
      <c r="E4" s="8"/>
      <c r="F4" s="8"/>
      <c r="G4" s="6"/>
      <c r="H4" s="8">
        <v>10</v>
      </c>
      <c r="I4" s="8">
        <v>12</v>
      </c>
      <c r="J4" s="8">
        <v>13</v>
      </c>
      <c r="K4" s="8">
        <v>14</v>
      </c>
      <c r="L4" s="8">
        <v>14</v>
      </c>
      <c r="M4" s="8"/>
      <c r="N4" s="8" t="s">
        <v>20</v>
      </c>
      <c r="O4" s="8"/>
      <c r="P4" s="8"/>
      <c r="Q4" s="8"/>
    </row>
    <row r="5" spans="1:17" x14ac:dyDescent="0.2">
      <c r="A5" s="9" t="s">
        <v>21</v>
      </c>
      <c r="B5" s="8" t="s">
        <v>22</v>
      </c>
      <c r="C5" s="8" t="s">
        <v>19</v>
      </c>
      <c r="D5" s="7">
        <f>(L5+K5+J5)/3</f>
        <v>3</v>
      </c>
      <c r="E5" s="8"/>
      <c r="F5" s="8"/>
      <c r="G5" s="6"/>
      <c r="H5" s="8">
        <v>5</v>
      </c>
      <c r="I5" s="8">
        <v>2</v>
      </c>
      <c r="J5" s="8">
        <v>3</v>
      </c>
      <c r="K5" s="8">
        <v>4</v>
      </c>
      <c r="L5" s="8">
        <v>2</v>
      </c>
      <c r="M5" s="8"/>
      <c r="N5" s="8" t="s">
        <v>20</v>
      </c>
      <c r="O5" s="8"/>
      <c r="P5" s="8"/>
      <c r="Q5" s="8"/>
    </row>
    <row r="6" spans="1:17" ht="42.75" customHeight="1" x14ac:dyDescent="0.2">
      <c r="A6" s="9" t="s">
        <v>23</v>
      </c>
      <c r="B6" s="8" t="s">
        <v>24</v>
      </c>
      <c r="C6" s="8" t="s">
        <v>25</v>
      </c>
      <c r="D6" s="7">
        <f>(K6+I6)/2</f>
        <v>22</v>
      </c>
      <c r="E6" s="8"/>
      <c r="F6" s="8"/>
      <c r="G6" s="6"/>
      <c r="H6" s="8"/>
      <c r="I6" s="8">
        <v>23</v>
      </c>
      <c r="J6" s="8"/>
      <c r="K6" s="8">
        <v>21</v>
      </c>
      <c r="L6" s="8"/>
      <c r="M6" s="8" t="s">
        <v>26</v>
      </c>
      <c r="N6" s="8" t="s">
        <v>27</v>
      </c>
      <c r="O6" s="8"/>
      <c r="P6" s="8"/>
      <c r="Q6" s="8" t="s">
        <v>28</v>
      </c>
    </row>
    <row r="7" spans="1:17" x14ac:dyDescent="0.2">
      <c r="A7" s="9" t="s">
        <v>29</v>
      </c>
      <c r="B7" s="8" t="s">
        <v>30</v>
      </c>
      <c r="C7" s="8" t="s">
        <v>31</v>
      </c>
      <c r="D7" s="7">
        <f>(K7+I7)/2</f>
        <v>19</v>
      </c>
      <c r="E7" s="8"/>
      <c r="F7" s="8"/>
      <c r="G7" s="6"/>
      <c r="H7" s="8"/>
      <c r="I7" s="8">
        <v>15</v>
      </c>
      <c r="J7" s="8"/>
      <c r="K7" s="8">
        <v>23</v>
      </c>
      <c r="L7" s="8"/>
      <c r="M7" s="8"/>
      <c r="N7" s="8" t="s">
        <v>27</v>
      </c>
      <c r="O7" s="8"/>
      <c r="P7" s="8"/>
      <c r="Q7" s="8"/>
    </row>
    <row r="8" spans="1:17" x14ac:dyDescent="0.2">
      <c r="A8" s="9" t="s">
        <v>32</v>
      </c>
      <c r="B8" s="8" t="s">
        <v>33</v>
      </c>
      <c r="C8" s="8" t="s">
        <v>34</v>
      </c>
      <c r="D8" s="7">
        <f>(L8+J8+H8)/3</f>
        <v>8</v>
      </c>
      <c r="E8" s="8"/>
      <c r="F8" s="8">
        <v>13</v>
      </c>
      <c r="G8" s="6"/>
      <c r="H8" s="8">
        <v>6</v>
      </c>
      <c r="I8" s="8"/>
      <c r="J8" s="8">
        <v>10</v>
      </c>
      <c r="K8" s="8"/>
      <c r="L8" s="8">
        <v>8</v>
      </c>
      <c r="M8" s="8"/>
      <c r="N8" s="8" t="s">
        <v>27</v>
      </c>
      <c r="O8" s="8"/>
      <c r="P8" s="8"/>
      <c r="Q8" s="8"/>
    </row>
    <row r="9" spans="1:17" ht="25.5" x14ac:dyDescent="0.2">
      <c r="A9" s="9" t="s">
        <v>35</v>
      </c>
      <c r="B9" s="8" t="s">
        <v>36</v>
      </c>
      <c r="C9" s="8" t="s">
        <v>37</v>
      </c>
      <c r="D9" s="7">
        <f>(L9+J9+H9)/3</f>
        <v>29.666666666666668</v>
      </c>
      <c r="E9" s="8"/>
      <c r="F9" s="8">
        <f>14+27</f>
        <v>41</v>
      </c>
      <c r="G9" s="6"/>
      <c r="H9" s="8">
        <f>15+18</f>
        <v>33</v>
      </c>
      <c r="I9" s="8"/>
      <c r="J9" s="8">
        <f>14+15</f>
        <v>29</v>
      </c>
      <c r="K9" s="8"/>
      <c r="L9" s="8">
        <f>9+18</f>
        <v>27</v>
      </c>
      <c r="M9" s="8" t="s">
        <v>38</v>
      </c>
      <c r="N9" s="8" t="s">
        <v>39</v>
      </c>
      <c r="O9" s="8"/>
      <c r="P9" s="8"/>
      <c r="Q9" s="8"/>
    </row>
    <row r="10" spans="1:17" x14ac:dyDescent="0.2">
      <c r="A10" s="9" t="s">
        <v>40</v>
      </c>
      <c r="B10" s="8" t="s">
        <v>41</v>
      </c>
      <c r="C10" s="8" t="s">
        <v>42</v>
      </c>
      <c r="D10" s="7">
        <f>(J10+H10+L10)/3</f>
        <v>17.666666666666668</v>
      </c>
      <c r="E10" s="8"/>
      <c r="F10" s="8">
        <v>17</v>
      </c>
      <c r="G10" s="6"/>
      <c r="H10" s="8">
        <v>19</v>
      </c>
      <c r="I10" s="8"/>
      <c r="J10" s="8">
        <v>14</v>
      </c>
      <c r="K10" s="8"/>
      <c r="L10" s="8">
        <v>20</v>
      </c>
      <c r="M10" s="8" t="s">
        <v>43</v>
      </c>
      <c r="N10" s="8" t="s">
        <v>44</v>
      </c>
      <c r="O10" s="8"/>
      <c r="P10" s="8"/>
      <c r="Q10" s="8"/>
    </row>
    <row r="11" spans="1:17" ht="25.5" x14ac:dyDescent="0.2">
      <c r="A11" s="9" t="s">
        <v>45</v>
      </c>
      <c r="B11" s="9" t="s">
        <v>46</v>
      </c>
      <c r="C11" s="9" t="s">
        <v>47</v>
      </c>
      <c r="D11" s="15">
        <f>(K11+I11+G11)/3</f>
        <v>87</v>
      </c>
      <c r="E11" s="8"/>
      <c r="F11" s="9"/>
      <c r="G11" s="9">
        <f>61+37</f>
        <v>98</v>
      </c>
      <c r="H11" s="9"/>
      <c r="I11" s="9">
        <f>47+38</f>
        <v>85</v>
      </c>
      <c r="J11" s="9"/>
      <c r="K11" s="9">
        <f>51+27</f>
        <v>78</v>
      </c>
      <c r="L11" s="9"/>
      <c r="M11" s="8" t="s">
        <v>296</v>
      </c>
      <c r="N11" s="8" t="s">
        <v>48</v>
      </c>
      <c r="O11" s="8"/>
      <c r="P11" s="8"/>
      <c r="Q11" s="8"/>
    </row>
    <row r="12" spans="1:17" ht="24.75" customHeight="1" x14ac:dyDescent="0.2">
      <c r="A12" s="9" t="s">
        <v>49</v>
      </c>
      <c r="B12" s="9" t="s">
        <v>50</v>
      </c>
      <c r="C12" s="9" t="s">
        <v>51</v>
      </c>
      <c r="D12" s="15">
        <f>(K12+I12)/2</f>
        <v>52</v>
      </c>
      <c r="E12" s="8"/>
      <c r="F12" s="9"/>
      <c r="G12" s="9"/>
      <c r="H12" s="9"/>
      <c r="I12" s="9">
        <f>51+12</f>
        <v>63</v>
      </c>
      <c r="J12" s="9"/>
      <c r="K12" s="9">
        <f>34+7</f>
        <v>41</v>
      </c>
      <c r="L12" s="9"/>
      <c r="M12" s="8"/>
      <c r="N12" s="8" t="s">
        <v>48</v>
      </c>
      <c r="O12" s="8"/>
      <c r="P12" s="8"/>
      <c r="Q12" s="8"/>
    </row>
    <row r="13" spans="1:17" ht="25.5" x14ac:dyDescent="0.2">
      <c r="A13" s="9" t="s">
        <v>52</v>
      </c>
      <c r="B13" s="9" t="s">
        <v>53</v>
      </c>
      <c r="C13" s="9" t="s">
        <v>54</v>
      </c>
      <c r="D13" s="15">
        <f>(J13+F13)/2</f>
        <v>35</v>
      </c>
      <c r="E13" s="2" t="s">
        <v>55</v>
      </c>
      <c r="F13" s="9">
        <v>44</v>
      </c>
      <c r="G13" s="9"/>
      <c r="H13" s="9"/>
      <c r="I13" s="9"/>
      <c r="J13" s="9">
        <v>26</v>
      </c>
      <c r="K13" s="9"/>
      <c r="L13" s="9"/>
      <c r="M13" s="8" t="s">
        <v>56</v>
      </c>
      <c r="N13" s="8" t="s">
        <v>57</v>
      </c>
      <c r="O13" s="8"/>
      <c r="P13" s="8"/>
      <c r="Q13" s="8"/>
    </row>
    <row r="14" spans="1:17" x14ac:dyDescent="0.2">
      <c r="A14" s="9" t="s">
        <v>58</v>
      </c>
      <c r="B14" s="9" t="s">
        <v>59</v>
      </c>
      <c r="C14" s="9" t="s">
        <v>60</v>
      </c>
      <c r="D14" s="15">
        <f>(K14+I14+G15)/3</f>
        <v>94.666666666666671</v>
      </c>
      <c r="E14" s="8"/>
      <c r="F14" s="9"/>
      <c r="G14" s="9">
        <f>27+60</f>
        <v>87</v>
      </c>
      <c r="H14" s="9"/>
      <c r="I14" s="9">
        <f>42+43</f>
        <v>85</v>
      </c>
      <c r="J14" s="9"/>
      <c r="K14" s="9">
        <f>34+50</f>
        <v>84</v>
      </c>
      <c r="L14" s="9"/>
      <c r="M14" s="8"/>
      <c r="N14" s="8" t="s">
        <v>61</v>
      </c>
      <c r="O14" s="8"/>
      <c r="P14" s="8"/>
      <c r="Q14" s="8"/>
    </row>
    <row r="15" spans="1:17" x14ac:dyDescent="0.2">
      <c r="A15" s="9" t="s">
        <v>62</v>
      </c>
      <c r="B15" s="9" t="s">
        <v>63</v>
      </c>
      <c r="C15" s="9" t="s">
        <v>64</v>
      </c>
      <c r="D15" s="15">
        <f>(K15+I15+G15)/3</f>
        <v>124.66666666666667</v>
      </c>
      <c r="E15" s="8"/>
      <c r="F15" s="9"/>
      <c r="G15" s="9">
        <f>56+59</f>
        <v>115</v>
      </c>
      <c r="H15" s="9"/>
      <c r="I15" s="9">
        <f>61+76</f>
        <v>137</v>
      </c>
      <c r="J15" s="9"/>
      <c r="K15" s="9">
        <f>54+68</f>
        <v>122</v>
      </c>
      <c r="L15" s="9"/>
      <c r="M15" s="8" t="s">
        <v>65</v>
      </c>
      <c r="N15" s="8" t="s">
        <v>66</v>
      </c>
      <c r="O15" s="8"/>
      <c r="P15" s="8"/>
      <c r="Q15" s="8"/>
    </row>
    <row r="16" spans="1:17" x14ac:dyDescent="0.2">
      <c r="A16" s="9" t="s">
        <v>67</v>
      </c>
      <c r="B16" s="9" t="s">
        <v>68</v>
      </c>
      <c r="C16" s="9" t="s">
        <v>69</v>
      </c>
      <c r="D16" s="15">
        <f>(J16+H16+L16)/3</f>
        <v>25.333333333333332</v>
      </c>
      <c r="E16" s="8"/>
      <c r="F16" s="9">
        <v>28</v>
      </c>
      <c r="G16" s="9"/>
      <c r="H16" s="9">
        <v>33</v>
      </c>
      <c r="I16" s="9"/>
      <c r="J16" s="9">
        <v>28</v>
      </c>
      <c r="K16" s="9"/>
      <c r="L16" s="9">
        <v>15</v>
      </c>
      <c r="M16" s="8"/>
      <c r="N16" s="8" t="s">
        <v>61</v>
      </c>
      <c r="O16" s="8"/>
      <c r="P16" s="8"/>
      <c r="Q16" s="8"/>
    </row>
    <row r="17" spans="1:17" x14ac:dyDescent="0.2">
      <c r="A17" s="9" t="s">
        <v>70</v>
      </c>
      <c r="B17" s="9" t="s">
        <v>71</v>
      </c>
      <c r="C17" s="9" t="s">
        <v>64</v>
      </c>
      <c r="D17" s="15">
        <f>(J17+H17+L17)/3</f>
        <v>89.666666666666671</v>
      </c>
      <c r="E17" s="8"/>
      <c r="F17" s="9">
        <f>52+78</f>
        <v>130</v>
      </c>
      <c r="G17" s="9"/>
      <c r="H17" s="9">
        <f>42+69</f>
        <v>111</v>
      </c>
      <c r="I17" s="9"/>
      <c r="J17" s="9">
        <f>29+64</f>
        <v>93</v>
      </c>
      <c r="K17" s="9"/>
      <c r="L17" s="9">
        <f>25+40</f>
        <v>65</v>
      </c>
      <c r="M17" s="8"/>
      <c r="N17" s="8" t="s">
        <v>66</v>
      </c>
      <c r="O17" s="8"/>
      <c r="P17" s="8"/>
      <c r="Q17" s="8"/>
    </row>
    <row r="18" spans="1:17" ht="25.5" x14ac:dyDescent="0.2">
      <c r="A18" s="9" t="s">
        <v>72</v>
      </c>
      <c r="B18" s="9" t="s">
        <v>73</v>
      </c>
      <c r="C18" s="9" t="s">
        <v>74</v>
      </c>
      <c r="D18" s="15">
        <f>(J18+H18+L18)/3</f>
        <v>19.333333333333332</v>
      </c>
      <c r="E18" s="8"/>
      <c r="F18" s="9">
        <v>17</v>
      </c>
      <c r="G18" s="9"/>
      <c r="H18" s="9">
        <v>17</v>
      </c>
      <c r="I18" s="9"/>
      <c r="J18" s="9">
        <v>25</v>
      </c>
      <c r="K18" s="9"/>
      <c r="L18" s="9">
        <f>16</f>
        <v>16</v>
      </c>
      <c r="M18" s="8" t="s">
        <v>296</v>
      </c>
      <c r="N18" s="8" t="s">
        <v>75</v>
      </c>
      <c r="O18" s="8" t="s">
        <v>76</v>
      </c>
      <c r="P18" s="8"/>
      <c r="Q18" s="8"/>
    </row>
    <row r="19" spans="1:17" ht="25.5" x14ac:dyDescent="0.2">
      <c r="A19" s="9" t="s">
        <v>77</v>
      </c>
      <c r="B19" s="9" t="s">
        <v>78</v>
      </c>
      <c r="C19" s="9" t="s">
        <v>79</v>
      </c>
      <c r="D19" s="15">
        <f>(J19+H19+L19)/3</f>
        <v>79.333333333333329</v>
      </c>
      <c r="E19" s="8"/>
      <c r="F19" s="9">
        <f>73+42</f>
        <v>115</v>
      </c>
      <c r="G19" s="9"/>
      <c r="H19" s="9">
        <f>43+25</f>
        <v>68</v>
      </c>
      <c r="I19" s="9"/>
      <c r="J19" s="9">
        <f>49+35</f>
        <v>84</v>
      </c>
      <c r="K19" s="9"/>
      <c r="L19" s="9">
        <f>51+35</f>
        <v>86</v>
      </c>
      <c r="M19" s="8" t="s">
        <v>296</v>
      </c>
      <c r="N19" s="8" t="s">
        <v>75</v>
      </c>
      <c r="O19" s="8"/>
      <c r="P19" s="8"/>
      <c r="Q19" s="8"/>
    </row>
    <row r="20" spans="1:17" ht="25.5" x14ac:dyDescent="0.2">
      <c r="A20" s="9" t="s">
        <v>80</v>
      </c>
      <c r="B20" s="9" t="s">
        <v>81</v>
      </c>
      <c r="C20" s="9" t="s">
        <v>82</v>
      </c>
      <c r="D20" s="15">
        <f>(K20+I20)/2</f>
        <v>17</v>
      </c>
      <c r="E20" s="8"/>
      <c r="F20" s="9"/>
      <c r="G20" s="9"/>
      <c r="H20" s="9"/>
      <c r="I20" s="9">
        <v>17</v>
      </c>
      <c r="J20" s="9"/>
      <c r="K20" s="9">
        <v>17</v>
      </c>
      <c r="L20" s="9"/>
      <c r="M20" s="8"/>
      <c r="N20" s="8" t="s">
        <v>83</v>
      </c>
      <c r="O20" s="8"/>
      <c r="P20" s="8"/>
      <c r="Q20" s="8"/>
    </row>
    <row r="21" spans="1:17" x14ac:dyDescent="0.2">
      <c r="A21" s="8" t="s">
        <v>84</v>
      </c>
      <c r="B21" s="8" t="s">
        <v>85</v>
      </c>
      <c r="C21" s="8" t="s">
        <v>86</v>
      </c>
      <c r="D21" s="7">
        <f>(J21+H21+L21)/3</f>
        <v>43.666666666666664</v>
      </c>
      <c r="E21" s="8"/>
      <c r="F21" s="9"/>
      <c r="G21" s="9"/>
      <c r="H21" s="9">
        <v>39</v>
      </c>
      <c r="I21" s="9"/>
      <c r="J21" s="9">
        <v>30</v>
      </c>
      <c r="K21" s="9"/>
      <c r="L21" s="9">
        <v>62</v>
      </c>
      <c r="M21" s="8" t="s">
        <v>87</v>
      </c>
      <c r="N21" s="8" t="s">
        <v>61</v>
      </c>
      <c r="O21" s="8"/>
      <c r="P21" s="8"/>
      <c r="Q21" s="8"/>
    </row>
    <row r="22" spans="1:17" ht="38.25" x14ac:dyDescent="0.2">
      <c r="A22" s="9" t="s">
        <v>88</v>
      </c>
      <c r="B22" s="9" t="s">
        <v>89</v>
      </c>
      <c r="C22" s="9" t="s">
        <v>90</v>
      </c>
      <c r="D22" s="15">
        <f>(K22+I22+G22)/3</f>
        <v>60.333333333333336</v>
      </c>
      <c r="E22" s="8"/>
      <c r="F22" s="9"/>
      <c r="G22" s="9">
        <f>20+26</f>
        <v>46</v>
      </c>
      <c r="H22" s="9"/>
      <c r="I22" s="9">
        <f>30+32</f>
        <v>62</v>
      </c>
      <c r="J22" s="9"/>
      <c r="K22" s="9">
        <f>33+40</f>
        <v>73</v>
      </c>
      <c r="L22" s="9"/>
      <c r="M22" s="8" t="s">
        <v>297</v>
      </c>
      <c r="N22" s="8" t="s">
        <v>61</v>
      </c>
      <c r="O22" s="8"/>
      <c r="P22" s="8"/>
      <c r="Q22" s="8"/>
    </row>
    <row r="23" spans="1:17" ht="63.75" x14ac:dyDescent="0.2">
      <c r="A23" s="9" t="s">
        <v>91</v>
      </c>
      <c r="B23" s="9" t="s">
        <v>92</v>
      </c>
      <c r="C23" s="9" t="s">
        <v>93</v>
      </c>
      <c r="D23" s="15">
        <f>(K23+I23+G23)/3</f>
        <v>26</v>
      </c>
      <c r="E23" s="8"/>
      <c r="F23" s="9"/>
      <c r="G23" s="9">
        <v>24</v>
      </c>
      <c r="H23" s="9"/>
      <c r="I23" s="9">
        <v>24</v>
      </c>
      <c r="J23" s="9"/>
      <c r="K23" s="9">
        <v>30</v>
      </c>
      <c r="L23" s="9"/>
      <c r="M23" s="8"/>
      <c r="N23" s="8" t="s">
        <v>94</v>
      </c>
      <c r="O23" s="8"/>
      <c r="P23" s="8" t="s">
        <v>95</v>
      </c>
      <c r="Q23" s="8"/>
    </row>
    <row r="24" spans="1:17" x14ac:dyDescent="0.2">
      <c r="A24" s="9" t="s">
        <v>96</v>
      </c>
      <c r="B24" s="9" t="s">
        <v>97</v>
      </c>
      <c r="C24" s="9" t="s">
        <v>98</v>
      </c>
      <c r="D24" s="15">
        <f>(K24+I24)/2</f>
        <v>16.5</v>
      </c>
      <c r="E24" s="8"/>
      <c r="F24" s="9"/>
      <c r="G24" s="9"/>
      <c r="H24" s="9"/>
      <c r="I24" s="9">
        <v>16</v>
      </c>
      <c r="J24" s="9"/>
      <c r="K24" s="9">
        <v>17</v>
      </c>
      <c r="L24" s="9"/>
      <c r="M24" s="8"/>
      <c r="N24" s="8" t="s">
        <v>61</v>
      </c>
      <c r="O24" s="8"/>
      <c r="P24" s="8"/>
      <c r="Q24" s="8"/>
    </row>
    <row r="25" spans="1:17" x14ac:dyDescent="0.2">
      <c r="A25" s="9" t="s">
        <v>99</v>
      </c>
      <c r="B25" s="9" t="s">
        <v>100</v>
      </c>
      <c r="C25" s="9" t="s">
        <v>101</v>
      </c>
      <c r="D25" s="15">
        <f>(J25+H25+L25)/3</f>
        <v>40.666666666666664</v>
      </c>
      <c r="E25" s="8"/>
      <c r="F25" s="9">
        <f>20+33</f>
        <v>53</v>
      </c>
      <c r="G25" s="9"/>
      <c r="H25" s="9">
        <f>16+30</f>
        <v>46</v>
      </c>
      <c r="I25" s="9"/>
      <c r="J25" s="9">
        <f>19+26</f>
        <v>45</v>
      </c>
      <c r="K25" s="9"/>
      <c r="L25" s="9">
        <f>16+15</f>
        <v>31</v>
      </c>
      <c r="M25" s="8"/>
      <c r="N25" s="8" t="s">
        <v>61</v>
      </c>
      <c r="O25" s="8"/>
      <c r="P25" s="8"/>
      <c r="Q25" s="8"/>
    </row>
    <row r="26" spans="1:17" x14ac:dyDescent="0.2">
      <c r="A26" s="9" t="s">
        <v>102</v>
      </c>
      <c r="B26" s="9" t="s">
        <v>103</v>
      </c>
      <c r="C26" s="9" t="s">
        <v>19</v>
      </c>
      <c r="D26" s="15">
        <f>(K26+I26)/2</f>
        <v>40.5</v>
      </c>
      <c r="E26" s="8"/>
      <c r="F26" s="9"/>
      <c r="G26" s="9"/>
      <c r="H26" s="9"/>
      <c r="I26" s="9">
        <f>23+15</f>
        <v>38</v>
      </c>
      <c r="J26" s="9"/>
      <c r="K26" s="9">
        <f>26+17</f>
        <v>43</v>
      </c>
      <c r="L26" s="9"/>
      <c r="M26" s="8"/>
      <c r="N26" s="8" t="s">
        <v>61</v>
      </c>
      <c r="O26" s="8"/>
      <c r="P26" s="8"/>
      <c r="Q26" s="8"/>
    </row>
    <row r="27" spans="1:17" x14ac:dyDescent="0.2">
      <c r="A27" s="9" t="s">
        <v>104</v>
      </c>
      <c r="B27" s="9" t="s">
        <v>105</v>
      </c>
      <c r="C27" s="9" t="s">
        <v>106</v>
      </c>
      <c r="D27" s="15">
        <f>(K27+I27+G27)/3</f>
        <v>45</v>
      </c>
      <c r="E27" s="8"/>
      <c r="F27" s="9"/>
      <c r="G27" s="9">
        <f>31+12</f>
        <v>43</v>
      </c>
      <c r="H27" s="9"/>
      <c r="I27" s="9">
        <f>36+14</f>
        <v>50</v>
      </c>
      <c r="J27" s="9"/>
      <c r="K27" s="9">
        <f>31+11</f>
        <v>42</v>
      </c>
      <c r="L27" s="9"/>
      <c r="M27" s="8"/>
      <c r="N27" s="8" t="s">
        <v>57</v>
      </c>
      <c r="O27" s="8"/>
      <c r="P27" s="8"/>
      <c r="Q27" s="8"/>
    </row>
    <row r="28" spans="1:17" ht="63.75" x14ac:dyDescent="0.2">
      <c r="A28" s="9" t="s">
        <v>107</v>
      </c>
      <c r="B28" s="9" t="s">
        <v>108</v>
      </c>
      <c r="C28" s="9" t="s">
        <v>93</v>
      </c>
      <c r="D28" s="15">
        <f>(J28+H28+L28)/3</f>
        <v>48.666666666666664</v>
      </c>
      <c r="E28" s="8"/>
      <c r="F28" s="9"/>
      <c r="G28" s="9"/>
      <c r="H28" s="9">
        <f>19+31</f>
        <v>50</v>
      </c>
      <c r="I28" s="9"/>
      <c r="J28" s="9">
        <f>27+29</f>
        <v>56</v>
      </c>
      <c r="K28" s="9"/>
      <c r="L28" s="9">
        <f>11+29</f>
        <v>40</v>
      </c>
      <c r="M28" s="8" t="s">
        <v>87</v>
      </c>
      <c r="N28" s="8" t="s">
        <v>94</v>
      </c>
      <c r="O28" s="8"/>
      <c r="P28" s="8" t="s">
        <v>95</v>
      </c>
      <c r="Q28" s="8"/>
    </row>
    <row r="29" spans="1:17" x14ac:dyDescent="0.2">
      <c r="A29" s="9" t="s">
        <v>109</v>
      </c>
      <c r="B29" s="9" t="s">
        <v>110</v>
      </c>
      <c r="C29" s="9" t="s">
        <v>111</v>
      </c>
      <c r="D29" s="15">
        <f>(J29+H29+L29)/3</f>
        <v>17</v>
      </c>
      <c r="E29" s="8"/>
      <c r="F29" s="9">
        <v>24</v>
      </c>
      <c r="G29" s="9"/>
      <c r="H29" s="9">
        <v>13</v>
      </c>
      <c r="I29" s="9"/>
      <c r="J29" s="9">
        <v>14</v>
      </c>
      <c r="K29" s="9"/>
      <c r="L29" s="9">
        <v>24</v>
      </c>
      <c r="M29" s="8"/>
      <c r="N29" s="8" t="s">
        <v>39</v>
      </c>
      <c r="O29" s="8"/>
      <c r="P29" s="8"/>
      <c r="Q29" s="8"/>
    </row>
    <row r="30" spans="1:17" ht="25.5" x14ac:dyDescent="0.2">
      <c r="A30" s="9" t="s">
        <v>112</v>
      </c>
      <c r="B30" s="9" t="s">
        <v>113</v>
      </c>
      <c r="C30" s="9" t="s">
        <v>114</v>
      </c>
      <c r="D30" s="15">
        <f>(J30+E30)/2</f>
        <v>8.5</v>
      </c>
      <c r="E30" s="8">
        <v>9</v>
      </c>
      <c r="F30" s="9"/>
      <c r="G30" s="9"/>
      <c r="H30" s="9"/>
      <c r="I30" s="9"/>
      <c r="J30" s="9">
        <v>8</v>
      </c>
      <c r="K30" s="9"/>
      <c r="L30" s="9"/>
      <c r="M30" s="8"/>
      <c r="N30" s="8" t="s">
        <v>20</v>
      </c>
      <c r="O30" s="10"/>
      <c r="P30" s="8" t="s">
        <v>115</v>
      </c>
      <c r="Q30" s="10"/>
    </row>
    <row r="31" spans="1:17" ht="102" x14ac:dyDescent="0.2">
      <c r="A31" s="9" t="s">
        <v>116</v>
      </c>
      <c r="B31" s="9" t="s">
        <v>117</v>
      </c>
      <c r="C31" s="9" t="s">
        <v>54</v>
      </c>
      <c r="D31" s="15">
        <f>(H31+L31)/2</f>
        <v>28.5</v>
      </c>
      <c r="E31" s="8" t="s">
        <v>55</v>
      </c>
      <c r="F31" s="9"/>
      <c r="G31" s="9"/>
      <c r="H31" s="9">
        <v>28</v>
      </c>
      <c r="I31" s="9"/>
      <c r="J31" s="9"/>
      <c r="K31" s="9"/>
      <c r="L31" s="9">
        <v>29</v>
      </c>
      <c r="M31" s="8" t="s">
        <v>298</v>
      </c>
      <c r="N31" s="8" t="s">
        <v>57</v>
      </c>
      <c r="O31" s="8"/>
      <c r="P31" s="8"/>
      <c r="Q31" s="8"/>
    </row>
    <row r="32" spans="1:17" x14ac:dyDescent="0.2">
      <c r="A32" s="9" t="s">
        <v>118</v>
      </c>
      <c r="B32" s="9" t="s">
        <v>119</v>
      </c>
      <c r="C32" s="9" t="s">
        <v>120</v>
      </c>
      <c r="D32" s="15">
        <f>(K32+I32+G32)/3</f>
        <v>108</v>
      </c>
      <c r="E32" s="8"/>
      <c r="F32" s="9"/>
      <c r="G32" s="9">
        <f>73+39</f>
        <v>112</v>
      </c>
      <c r="H32" s="9"/>
      <c r="I32" s="9">
        <f>78+21</f>
        <v>99</v>
      </c>
      <c r="J32" s="9"/>
      <c r="K32" s="9">
        <f>77+36</f>
        <v>113</v>
      </c>
      <c r="L32" s="9"/>
      <c r="M32" s="8" t="s">
        <v>65</v>
      </c>
      <c r="N32" s="8" t="s">
        <v>39</v>
      </c>
      <c r="O32" s="8"/>
      <c r="P32" s="8"/>
      <c r="Q32" s="8"/>
    </row>
    <row r="33" spans="1:17" x14ac:dyDescent="0.2">
      <c r="A33" s="9" t="s">
        <v>121</v>
      </c>
      <c r="B33" s="9" t="s">
        <v>122</v>
      </c>
      <c r="C33" s="9" t="s">
        <v>123</v>
      </c>
      <c r="D33" s="15">
        <f>(K33+I33)/2</f>
        <v>89</v>
      </c>
      <c r="E33" s="8"/>
      <c r="F33" s="9"/>
      <c r="G33" s="9"/>
      <c r="H33" s="9"/>
      <c r="I33" s="9">
        <v>81</v>
      </c>
      <c r="J33" s="9"/>
      <c r="K33" s="9">
        <v>97</v>
      </c>
      <c r="L33" s="9"/>
      <c r="M33" s="8"/>
      <c r="N33" s="8" t="s">
        <v>39</v>
      </c>
      <c r="O33" s="8"/>
      <c r="P33" s="8"/>
      <c r="Q33" s="8"/>
    </row>
    <row r="34" spans="1:17" x14ac:dyDescent="0.2">
      <c r="A34" s="9" t="s">
        <v>124</v>
      </c>
      <c r="B34" s="9" t="s">
        <v>125</v>
      </c>
      <c r="C34" s="9" t="s">
        <v>126</v>
      </c>
      <c r="D34" s="15">
        <f>(J34+H34+L34)/3</f>
        <v>13.666666666666666</v>
      </c>
      <c r="E34" s="8"/>
      <c r="F34" s="9"/>
      <c r="G34" s="9"/>
      <c r="H34" s="9">
        <v>19</v>
      </c>
      <c r="I34" s="9"/>
      <c r="J34" s="9">
        <v>13</v>
      </c>
      <c r="K34" s="9"/>
      <c r="L34" s="9">
        <v>9</v>
      </c>
      <c r="M34" s="8"/>
      <c r="N34" s="8" t="s">
        <v>20</v>
      </c>
      <c r="O34" s="8"/>
      <c r="P34" s="8"/>
      <c r="Q34" s="8"/>
    </row>
    <row r="35" spans="1:17" ht="25.5" x14ac:dyDescent="0.2">
      <c r="A35" s="9" t="s">
        <v>127</v>
      </c>
      <c r="B35" s="9" t="s">
        <v>128</v>
      </c>
      <c r="C35" s="9" t="s">
        <v>129</v>
      </c>
      <c r="D35" s="15">
        <f>(J35+H35+L35)/3</f>
        <v>254</v>
      </c>
      <c r="E35" s="8"/>
      <c r="F35" s="9">
        <f>147+128</f>
        <v>275</v>
      </c>
      <c r="G35" s="9"/>
      <c r="H35" s="9">
        <f>135+112</f>
        <v>247</v>
      </c>
      <c r="I35" s="9"/>
      <c r="J35" s="9">
        <f>134+165</f>
        <v>299</v>
      </c>
      <c r="K35" s="9"/>
      <c r="L35" s="9">
        <f>116+100</f>
        <v>216</v>
      </c>
      <c r="M35" s="8"/>
      <c r="N35" s="8" t="s">
        <v>130</v>
      </c>
      <c r="O35" s="8" t="s">
        <v>131</v>
      </c>
      <c r="P35" s="8" t="s">
        <v>132</v>
      </c>
      <c r="Q35" s="8"/>
    </row>
    <row r="36" spans="1:17" ht="25.5" x14ac:dyDescent="0.2">
      <c r="A36" s="9" t="s">
        <v>133</v>
      </c>
      <c r="B36" s="9" t="s">
        <v>134</v>
      </c>
      <c r="C36" s="9" t="s">
        <v>135</v>
      </c>
      <c r="D36" s="15">
        <f>(K36+I36+G36)/3</f>
        <v>101</v>
      </c>
      <c r="E36" s="8"/>
      <c r="F36" s="9"/>
      <c r="G36" s="9">
        <f>44+44</f>
        <v>88</v>
      </c>
      <c r="H36" s="9"/>
      <c r="I36" s="9">
        <f>43+57</f>
        <v>100</v>
      </c>
      <c r="J36" s="9"/>
      <c r="K36" s="9">
        <f>59+56</f>
        <v>115</v>
      </c>
      <c r="L36" s="9"/>
      <c r="M36" s="8" t="s">
        <v>296</v>
      </c>
      <c r="N36" s="8" t="s">
        <v>130</v>
      </c>
      <c r="O36" s="8" t="s">
        <v>131</v>
      </c>
      <c r="P36" s="8" t="s">
        <v>132</v>
      </c>
      <c r="Q36" s="8"/>
    </row>
    <row r="37" spans="1:17" ht="25.5" x14ac:dyDescent="0.2">
      <c r="A37" s="9" t="s">
        <v>136</v>
      </c>
      <c r="B37" s="9" t="s">
        <v>137</v>
      </c>
      <c r="C37" s="9" t="s">
        <v>138</v>
      </c>
      <c r="D37" s="15">
        <f>(J37+H37+L37)/3</f>
        <v>75.666666666666671</v>
      </c>
      <c r="E37" s="8"/>
      <c r="F37" s="9">
        <v>57</v>
      </c>
      <c r="G37" s="9"/>
      <c r="H37" s="9">
        <v>54</v>
      </c>
      <c r="I37" s="9"/>
      <c r="J37" s="9">
        <f>57+40</f>
        <v>97</v>
      </c>
      <c r="K37" s="9"/>
      <c r="L37" s="9">
        <f>52+24</f>
        <v>76</v>
      </c>
      <c r="M37" s="8" t="s">
        <v>139</v>
      </c>
      <c r="N37" s="8" t="s">
        <v>61</v>
      </c>
      <c r="O37" s="8"/>
      <c r="P37" s="8"/>
      <c r="Q37" s="8"/>
    </row>
    <row r="38" spans="1:17" ht="25.5" x14ac:dyDescent="0.2">
      <c r="A38" s="9" t="s">
        <v>140</v>
      </c>
      <c r="B38" s="9" t="s">
        <v>141</v>
      </c>
      <c r="C38" s="9" t="s">
        <v>142</v>
      </c>
      <c r="D38" s="15">
        <f>(J38+H38+L38)/3</f>
        <v>75.666666666666671</v>
      </c>
      <c r="E38" s="8"/>
      <c r="F38" s="9"/>
      <c r="G38" s="9"/>
      <c r="H38" s="9">
        <f>27+23</f>
        <v>50</v>
      </c>
      <c r="I38" s="9"/>
      <c r="J38" s="9">
        <f>34+41</f>
        <v>75</v>
      </c>
      <c r="K38" s="9"/>
      <c r="L38" s="9">
        <f>43+59</f>
        <v>102</v>
      </c>
      <c r="M38" s="8" t="s">
        <v>143</v>
      </c>
      <c r="N38" s="8" t="s">
        <v>144</v>
      </c>
      <c r="O38" s="8"/>
      <c r="P38" s="8"/>
      <c r="Q38" s="8"/>
    </row>
    <row r="39" spans="1:17" ht="25.5" x14ac:dyDescent="0.2">
      <c r="A39" s="9" t="s">
        <v>145</v>
      </c>
      <c r="B39" s="9" t="s">
        <v>146</v>
      </c>
      <c r="C39" s="9" t="s">
        <v>142</v>
      </c>
      <c r="D39" s="15">
        <f>(K39+I39)/2</f>
        <v>59</v>
      </c>
      <c r="E39" s="8"/>
      <c r="F39" s="9"/>
      <c r="G39" s="9"/>
      <c r="H39" s="9"/>
      <c r="I39" s="9">
        <f>12+23</f>
        <v>35</v>
      </c>
      <c r="J39" s="9"/>
      <c r="K39" s="9">
        <f>42+41</f>
        <v>83</v>
      </c>
      <c r="L39" s="9"/>
      <c r="M39" s="8" t="s">
        <v>143</v>
      </c>
      <c r="N39" s="8" t="s">
        <v>94</v>
      </c>
      <c r="O39" s="8"/>
      <c r="P39" s="8"/>
      <c r="Q39" s="8"/>
    </row>
    <row r="40" spans="1:17" ht="38.25" x14ac:dyDescent="0.2">
      <c r="A40" s="9" t="s">
        <v>147</v>
      </c>
      <c r="B40" s="9" t="s">
        <v>148</v>
      </c>
      <c r="C40" s="9" t="s">
        <v>54</v>
      </c>
      <c r="D40" s="15">
        <f>(K40+I40+G40)/3</f>
        <v>68</v>
      </c>
      <c r="E40" s="8"/>
      <c r="F40" s="9"/>
      <c r="G40" s="9">
        <f>38+40</f>
        <v>78</v>
      </c>
      <c r="H40" s="9"/>
      <c r="I40" s="9">
        <f>40+37</f>
        <v>77</v>
      </c>
      <c r="J40" s="9"/>
      <c r="K40" s="9">
        <f>27+22</f>
        <v>49</v>
      </c>
      <c r="L40" s="9"/>
      <c r="M40" s="8" t="s">
        <v>299</v>
      </c>
      <c r="N40" s="8" t="s">
        <v>149</v>
      </c>
      <c r="O40" s="8"/>
      <c r="P40" s="8"/>
      <c r="Q40" s="8"/>
    </row>
    <row r="41" spans="1:17" x14ac:dyDescent="0.2">
      <c r="A41" s="9" t="s">
        <v>150</v>
      </c>
      <c r="B41" s="9" t="s">
        <v>151</v>
      </c>
      <c r="C41" s="9" t="s">
        <v>54</v>
      </c>
      <c r="D41" s="15">
        <f>(J41+H41+L41)/3</f>
        <v>41</v>
      </c>
      <c r="E41" s="8"/>
      <c r="F41" s="9">
        <v>41</v>
      </c>
      <c r="G41" s="9"/>
      <c r="H41" s="9">
        <v>35</v>
      </c>
      <c r="I41" s="9"/>
      <c r="J41" s="9">
        <v>44</v>
      </c>
      <c r="K41" s="9"/>
      <c r="L41" s="9">
        <v>44</v>
      </c>
      <c r="M41" s="8" t="s">
        <v>152</v>
      </c>
      <c r="N41" s="8" t="s">
        <v>57</v>
      </c>
      <c r="O41" s="8"/>
      <c r="P41" s="8"/>
      <c r="Q41" s="8"/>
    </row>
    <row r="42" spans="1:17" x14ac:dyDescent="0.2">
      <c r="A42" s="9" t="s">
        <v>153</v>
      </c>
      <c r="B42" s="9" t="s">
        <v>154</v>
      </c>
      <c r="C42" s="9" t="s">
        <v>155</v>
      </c>
      <c r="D42" s="15">
        <f>(J42+H42+L42)/3</f>
        <v>160.66666666666666</v>
      </c>
      <c r="E42" s="8"/>
      <c r="F42" s="9">
        <f>28+62</f>
        <v>90</v>
      </c>
      <c r="G42" s="9"/>
      <c r="H42" s="9">
        <f>38+52</f>
        <v>90</v>
      </c>
      <c r="I42" s="9"/>
      <c r="J42" s="9">
        <f>111+51</f>
        <v>162</v>
      </c>
      <c r="K42" s="9"/>
      <c r="L42" s="9">
        <f>112+118</f>
        <v>230</v>
      </c>
      <c r="M42" s="8"/>
      <c r="N42" s="8" t="s">
        <v>48</v>
      </c>
      <c r="O42" s="8"/>
      <c r="P42" s="8"/>
      <c r="Q42" s="8"/>
    </row>
    <row r="43" spans="1:17" x14ac:dyDescent="0.2">
      <c r="A43" s="9" t="s">
        <v>156</v>
      </c>
      <c r="B43" s="9" t="s">
        <v>157</v>
      </c>
      <c r="C43" s="9" t="s">
        <v>106</v>
      </c>
      <c r="D43" s="15">
        <f>K43</f>
        <v>28</v>
      </c>
      <c r="E43" s="8"/>
      <c r="F43" s="9"/>
      <c r="G43" s="9"/>
      <c r="H43" s="9"/>
      <c r="I43" s="9"/>
      <c r="J43" s="9"/>
      <c r="K43" s="9">
        <f>20+8</f>
        <v>28</v>
      </c>
      <c r="L43" s="9"/>
      <c r="M43" s="8" t="s">
        <v>65</v>
      </c>
      <c r="N43" s="8" t="s">
        <v>149</v>
      </c>
      <c r="O43" s="8"/>
      <c r="P43" s="8"/>
      <c r="Q43" s="8"/>
    </row>
    <row r="44" spans="1:17" ht="25.5" x14ac:dyDescent="0.2">
      <c r="A44" s="9" t="s">
        <v>158</v>
      </c>
      <c r="B44" s="9" t="s">
        <v>159</v>
      </c>
      <c r="C44" s="9" t="s">
        <v>160</v>
      </c>
      <c r="D44" s="15">
        <f>(K44+I44+G44)/3</f>
        <v>80.333333333333329</v>
      </c>
      <c r="E44" s="8"/>
      <c r="F44" s="9"/>
      <c r="G44" s="9">
        <v>67</v>
      </c>
      <c r="H44" s="9"/>
      <c r="I44" s="9">
        <v>72</v>
      </c>
      <c r="J44" s="9"/>
      <c r="K44" s="9">
        <v>102</v>
      </c>
      <c r="L44" s="9"/>
      <c r="M44" s="8" t="s">
        <v>161</v>
      </c>
      <c r="N44" s="8" t="s">
        <v>162</v>
      </c>
      <c r="O44" s="8"/>
      <c r="P44" s="8"/>
      <c r="Q44" s="8"/>
    </row>
    <row r="45" spans="1:17" x14ac:dyDescent="0.2">
      <c r="A45" s="9" t="s">
        <v>163</v>
      </c>
      <c r="B45" s="9" t="s">
        <v>164</v>
      </c>
      <c r="C45" s="9" t="s">
        <v>165</v>
      </c>
      <c r="D45" s="15">
        <f>(J45+H45+L45)/3</f>
        <v>34.666666666666664</v>
      </c>
      <c r="E45" s="8"/>
      <c r="F45" s="9"/>
      <c r="G45" s="9"/>
      <c r="H45" s="9">
        <f>31+9</f>
        <v>40</v>
      </c>
      <c r="I45" s="9"/>
      <c r="J45" s="9">
        <f>19+18</f>
        <v>37</v>
      </c>
      <c r="K45" s="9"/>
      <c r="L45" s="9">
        <f>13+14</f>
        <v>27</v>
      </c>
      <c r="M45" s="8"/>
      <c r="N45" s="8" t="s">
        <v>61</v>
      </c>
      <c r="O45" s="8"/>
      <c r="P45" s="8"/>
      <c r="Q45" s="8"/>
    </row>
    <row r="46" spans="1:17" ht="25.5" x14ac:dyDescent="0.2">
      <c r="A46" s="9" t="s">
        <v>166</v>
      </c>
      <c r="B46" s="9" t="s">
        <v>167</v>
      </c>
      <c r="C46" s="9" t="s">
        <v>168</v>
      </c>
      <c r="D46" s="15">
        <f>(J46+H46+L46)/3</f>
        <v>104.33333333333333</v>
      </c>
      <c r="E46" s="8"/>
      <c r="F46" s="9">
        <f>74+49</f>
        <v>123</v>
      </c>
      <c r="G46" s="9"/>
      <c r="H46" s="9">
        <f>57+39</f>
        <v>96</v>
      </c>
      <c r="I46" s="9"/>
      <c r="J46" s="9">
        <f>61+65</f>
        <v>126</v>
      </c>
      <c r="K46" s="9"/>
      <c r="L46" s="9">
        <f>53+38</f>
        <v>91</v>
      </c>
      <c r="M46" s="8" t="s">
        <v>296</v>
      </c>
      <c r="N46" s="8" t="s">
        <v>48</v>
      </c>
      <c r="O46" s="8"/>
      <c r="P46" s="8"/>
      <c r="Q46" s="8"/>
    </row>
    <row r="47" spans="1:17" ht="76.5" x14ac:dyDescent="0.2">
      <c r="A47" s="9" t="s">
        <v>169</v>
      </c>
      <c r="B47" s="9" t="s">
        <v>170</v>
      </c>
      <c r="C47" s="9" t="s">
        <v>171</v>
      </c>
      <c r="D47" s="15">
        <f>(J47+H47+L47)/3</f>
        <v>118.66666666666667</v>
      </c>
      <c r="E47" s="8"/>
      <c r="F47" s="9">
        <f>61</f>
        <v>61</v>
      </c>
      <c r="G47" s="9"/>
      <c r="H47" s="9">
        <f>58+65</f>
        <v>123</v>
      </c>
      <c r="I47" s="9"/>
      <c r="J47" s="9">
        <f>47+70</f>
        <v>117</v>
      </c>
      <c r="K47" s="9"/>
      <c r="L47" s="9">
        <f>59+57</f>
        <v>116</v>
      </c>
      <c r="M47" s="8" t="s">
        <v>300</v>
      </c>
      <c r="N47" s="8" t="s">
        <v>172</v>
      </c>
      <c r="O47" s="8" t="s">
        <v>173</v>
      </c>
      <c r="P47" s="8"/>
      <c r="Q47" s="8"/>
    </row>
    <row r="48" spans="1:17" x14ac:dyDescent="0.2">
      <c r="A48" s="9" t="s">
        <v>174</v>
      </c>
      <c r="B48" s="9" t="s">
        <v>175</v>
      </c>
      <c r="C48" s="9" t="s">
        <v>176</v>
      </c>
      <c r="D48" s="15">
        <f>(K48+I48)/2</f>
        <v>26</v>
      </c>
      <c r="E48" s="8"/>
      <c r="F48" s="9"/>
      <c r="G48" s="9"/>
      <c r="H48" s="9"/>
      <c r="I48" s="9">
        <v>21</v>
      </c>
      <c r="J48" s="9"/>
      <c r="K48" s="9">
        <v>31</v>
      </c>
      <c r="L48" s="9"/>
      <c r="M48" s="8" t="s">
        <v>177</v>
      </c>
      <c r="N48" s="8" t="s">
        <v>178</v>
      </c>
      <c r="O48" s="8"/>
      <c r="P48" s="8"/>
      <c r="Q48" s="8"/>
    </row>
    <row r="49" spans="1:17" x14ac:dyDescent="0.2">
      <c r="A49" s="9" t="s">
        <v>179</v>
      </c>
      <c r="B49" s="9" t="s">
        <v>180</v>
      </c>
      <c r="C49" s="9" t="s">
        <v>181</v>
      </c>
      <c r="D49" s="15">
        <f>(K49+I49+G49)/3</f>
        <v>71.333333333333329</v>
      </c>
      <c r="E49" s="8"/>
      <c r="F49" s="9"/>
      <c r="G49" s="9">
        <v>57</v>
      </c>
      <c r="H49" s="9"/>
      <c r="I49" s="9">
        <v>73</v>
      </c>
      <c r="J49" s="9"/>
      <c r="K49" s="9">
        <v>84</v>
      </c>
      <c r="L49" s="9"/>
      <c r="M49" s="8" t="s">
        <v>182</v>
      </c>
      <c r="N49" s="8" t="s">
        <v>44</v>
      </c>
      <c r="O49" s="8"/>
      <c r="P49" s="8"/>
      <c r="Q49" s="8"/>
    </row>
    <row r="50" spans="1:17" x14ac:dyDescent="0.2">
      <c r="A50" s="8" t="s">
        <v>183</v>
      </c>
      <c r="B50" s="16" t="s">
        <v>184</v>
      </c>
      <c r="C50" s="16" t="s">
        <v>185</v>
      </c>
      <c r="D50" s="17">
        <f>(J50+H50+F50)/3</f>
        <v>41.666666666666664</v>
      </c>
      <c r="E50" s="8"/>
      <c r="F50" s="9">
        <v>36</v>
      </c>
      <c r="G50" s="9"/>
      <c r="H50" s="9">
        <v>43</v>
      </c>
      <c r="I50" s="9"/>
      <c r="J50" s="9">
        <v>46</v>
      </c>
      <c r="K50" s="9"/>
      <c r="L50" s="9"/>
      <c r="M50" s="8" t="s">
        <v>186</v>
      </c>
      <c r="N50" s="8" t="s">
        <v>178</v>
      </c>
      <c r="O50" s="8"/>
      <c r="P50" s="8"/>
      <c r="Q50" s="8"/>
    </row>
    <row r="51" spans="1:17" ht="76.5" x14ac:dyDescent="0.2">
      <c r="A51" s="9" t="s">
        <v>187</v>
      </c>
      <c r="B51" s="9" t="s">
        <v>188</v>
      </c>
      <c r="C51" s="9" t="s">
        <v>189</v>
      </c>
      <c r="D51" s="15">
        <f>(K51+I51+G51)/3</f>
        <v>31.333333333333332</v>
      </c>
      <c r="E51" s="8"/>
      <c r="F51" s="9"/>
      <c r="G51" s="9">
        <f>6+30</f>
        <v>36</v>
      </c>
      <c r="H51" s="9"/>
      <c r="I51" s="9">
        <f>18+16</f>
        <v>34</v>
      </c>
      <c r="J51" s="9"/>
      <c r="K51" s="9">
        <f>13+11</f>
        <v>24</v>
      </c>
      <c r="L51" s="9"/>
      <c r="M51" s="8" t="s">
        <v>43</v>
      </c>
      <c r="N51" s="8" t="s">
        <v>44</v>
      </c>
      <c r="O51" s="8" t="s">
        <v>173</v>
      </c>
      <c r="P51" s="8"/>
      <c r="Q51" s="8"/>
    </row>
    <row r="52" spans="1:17" ht="25.5" x14ac:dyDescent="0.2">
      <c r="A52" s="9" t="s">
        <v>190</v>
      </c>
      <c r="B52" s="9" t="s">
        <v>191</v>
      </c>
      <c r="C52" s="9" t="s">
        <v>192</v>
      </c>
      <c r="D52" s="15">
        <f>(K52+I52+L52)/3</f>
        <v>31</v>
      </c>
      <c r="E52" s="8"/>
      <c r="F52" s="9"/>
      <c r="G52" s="9">
        <v>22</v>
      </c>
      <c r="H52" s="9"/>
      <c r="I52" s="9">
        <v>32</v>
      </c>
      <c r="J52" s="9"/>
      <c r="K52" s="9">
        <v>26</v>
      </c>
      <c r="L52" s="9">
        <v>35</v>
      </c>
      <c r="M52" s="8" t="s">
        <v>186</v>
      </c>
      <c r="N52" s="8" t="s">
        <v>44</v>
      </c>
      <c r="O52" s="8"/>
      <c r="P52" s="8"/>
      <c r="Q52" s="8"/>
    </row>
    <row r="53" spans="1:17" ht="25.5" x14ac:dyDescent="0.2">
      <c r="A53" s="9" t="s">
        <v>193</v>
      </c>
      <c r="B53" s="9" t="s">
        <v>194</v>
      </c>
      <c r="C53" s="9" t="s">
        <v>195</v>
      </c>
      <c r="D53" s="15">
        <f>(J53+H53+L53)/3</f>
        <v>75.666666666666671</v>
      </c>
      <c r="E53" s="8"/>
      <c r="F53" s="9">
        <f>55+8</f>
        <v>63</v>
      </c>
      <c r="G53" s="9"/>
      <c r="H53" s="9">
        <f>60+26</f>
        <v>86</v>
      </c>
      <c r="I53" s="9"/>
      <c r="J53" s="9">
        <f>61+16</f>
        <v>77</v>
      </c>
      <c r="K53" s="9"/>
      <c r="L53" s="9">
        <f>51+13</f>
        <v>64</v>
      </c>
      <c r="M53" s="8" t="s">
        <v>296</v>
      </c>
      <c r="N53" s="8" t="s">
        <v>57</v>
      </c>
      <c r="O53" s="8"/>
      <c r="P53" s="8"/>
      <c r="Q53" s="8"/>
    </row>
    <row r="54" spans="1:17" ht="38.25" x14ac:dyDescent="0.2">
      <c r="A54" s="9" t="s">
        <v>196</v>
      </c>
      <c r="B54" s="9" t="s">
        <v>197</v>
      </c>
      <c r="C54" s="9" t="s">
        <v>198</v>
      </c>
      <c r="D54" s="15">
        <f>(J54+H54+L54)/3</f>
        <v>94.666666666666671</v>
      </c>
      <c r="E54" s="8"/>
      <c r="F54" s="9">
        <f>91+71</f>
        <v>162</v>
      </c>
      <c r="G54" s="9"/>
      <c r="H54" s="9">
        <f>68+29</f>
        <v>97</v>
      </c>
      <c r="I54" s="9"/>
      <c r="J54" s="9">
        <f>53+35</f>
        <v>88</v>
      </c>
      <c r="K54" s="9"/>
      <c r="L54" s="9">
        <f>51+48</f>
        <v>99</v>
      </c>
      <c r="M54" s="8" t="s">
        <v>301</v>
      </c>
      <c r="N54" s="8" t="s">
        <v>57</v>
      </c>
      <c r="O54" s="8"/>
      <c r="P54" s="8"/>
      <c r="Q54" s="8"/>
    </row>
    <row r="55" spans="1:17" x14ac:dyDescent="0.2">
      <c r="A55" s="8" t="s">
        <v>199</v>
      </c>
      <c r="B55" s="16" t="s">
        <v>200</v>
      </c>
      <c r="C55" s="16" t="s">
        <v>74</v>
      </c>
      <c r="D55" s="17">
        <f>(J55+H55+L55)/3</f>
        <v>37.333333333333336</v>
      </c>
      <c r="E55" s="8"/>
      <c r="F55" s="9">
        <v>58</v>
      </c>
      <c r="G55" s="9"/>
      <c r="H55" s="9">
        <v>34</v>
      </c>
      <c r="I55" s="9"/>
      <c r="J55" s="9">
        <v>53</v>
      </c>
      <c r="K55" s="9"/>
      <c r="L55" s="9">
        <v>25</v>
      </c>
      <c r="M55" s="8"/>
      <c r="N55" s="8" t="s">
        <v>75</v>
      </c>
      <c r="O55" s="8"/>
      <c r="P55" s="8"/>
      <c r="Q55" s="8"/>
    </row>
    <row r="56" spans="1:17" ht="25.5" x14ac:dyDescent="0.2">
      <c r="A56" s="9" t="s">
        <v>201</v>
      </c>
      <c r="B56" s="9" t="s">
        <v>202</v>
      </c>
      <c r="C56" s="9" t="s">
        <v>203</v>
      </c>
      <c r="D56" s="15">
        <f>(K56+I56)/2</f>
        <v>44</v>
      </c>
      <c r="E56" s="8"/>
      <c r="F56" s="9"/>
      <c r="G56" s="9"/>
      <c r="H56" s="9"/>
      <c r="I56" s="9">
        <v>47</v>
      </c>
      <c r="J56" s="9"/>
      <c r="K56" s="9">
        <v>41</v>
      </c>
      <c r="L56" s="9"/>
      <c r="M56" s="8"/>
      <c r="N56" s="8" t="s">
        <v>94</v>
      </c>
      <c r="O56" s="8"/>
      <c r="P56" s="8"/>
      <c r="Q56" s="8"/>
    </row>
    <row r="57" spans="1:17" x14ac:dyDescent="0.2">
      <c r="A57" s="9" t="s">
        <v>204</v>
      </c>
      <c r="B57" s="9" t="s">
        <v>205</v>
      </c>
      <c r="C57" s="9" t="s">
        <v>206</v>
      </c>
      <c r="D57" s="15">
        <f>(K57+I57)/2</f>
        <v>21.5</v>
      </c>
      <c r="E57" s="8"/>
      <c r="F57" s="9"/>
      <c r="G57" s="9"/>
      <c r="H57" s="9"/>
      <c r="I57" s="9">
        <v>21</v>
      </c>
      <c r="J57" s="9"/>
      <c r="K57" s="9">
        <v>22</v>
      </c>
      <c r="L57" s="9"/>
      <c r="M57" s="8"/>
      <c r="N57" s="8" t="s">
        <v>94</v>
      </c>
      <c r="O57" s="8"/>
      <c r="P57" s="8"/>
      <c r="Q57" s="8"/>
    </row>
    <row r="58" spans="1:17" ht="25.5" x14ac:dyDescent="0.2">
      <c r="A58" s="9" t="s">
        <v>207</v>
      </c>
      <c r="B58" s="9" t="s">
        <v>208</v>
      </c>
      <c r="C58" s="9" t="s">
        <v>209</v>
      </c>
      <c r="D58" s="15">
        <f>(K58+I58+G58)/3</f>
        <v>50</v>
      </c>
      <c r="E58" s="8"/>
      <c r="F58" s="9"/>
      <c r="G58" s="9">
        <f>19+27</f>
        <v>46</v>
      </c>
      <c r="H58" s="9"/>
      <c r="I58" s="9">
        <f>29+21</f>
        <v>50</v>
      </c>
      <c r="J58" s="9"/>
      <c r="K58" s="9">
        <f>29+25</f>
        <v>54</v>
      </c>
      <c r="L58" s="9"/>
      <c r="M58" s="8"/>
      <c r="N58" s="8" t="s">
        <v>75</v>
      </c>
      <c r="O58" s="8" t="s">
        <v>76</v>
      </c>
      <c r="P58" s="8"/>
      <c r="Q58" s="8"/>
    </row>
    <row r="59" spans="1:17" ht="25.5" x14ac:dyDescent="0.2">
      <c r="A59" s="8" t="s">
        <v>210</v>
      </c>
      <c r="B59" s="9" t="s">
        <v>211</v>
      </c>
      <c r="C59" s="9" t="s">
        <v>212</v>
      </c>
      <c r="D59" s="15">
        <f>(J59+H59+L59)/3</f>
        <v>22.666666666666668</v>
      </c>
      <c r="E59" s="8"/>
      <c r="F59" s="9">
        <v>32</v>
      </c>
      <c r="G59" s="9"/>
      <c r="H59" s="9">
        <v>20</v>
      </c>
      <c r="I59" s="9"/>
      <c r="J59" s="9">
        <v>28</v>
      </c>
      <c r="K59" s="9"/>
      <c r="L59" s="9">
        <v>20</v>
      </c>
      <c r="M59" s="8" t="s">
        <v>213</v>
      </c>
      <c r="N59" s="8" t="s">
        <v>75</v>
      </c>
      <c r="O59" s="8"/>
      <c r="P59" s="8"/>
      <c r="Q59" s="8"/>
    </row>
    <row r="60" spans="1:17" x14ac:dyDescent="0.2">
      <c r="A60" s="9" t="s">
        <v>214</v>
      </c>
      <c r="B60" s="9" t="s">
        <v>215</v>
      </c>
      <c r="C60" s="9" t="s">
        <v>216</v>
      </c>
      <c r="D60" s="15">
        <f>(K60+I60+G60)/3</f>
        <v>18</v>
      </c>
      <c r="E60" s="8"/>
      <c r="F60" s="9"/>
      <c r="G60" s="9">
        <v>18</v>
      </c>
      <c r="H60" s="9"/>
      <c r="I60" s="9">
        <v>19</v>
      </c>
      <c r="J60" s="9"/>
      <c r="K60" s="9">
        <v>17</v>
      </c>
      <c r="L60" s="9"/>
      <c r="M60" s="8" t="s">
        <v>217</v>
      </c>
      <c r="N60" s="8" t="s">
        <v>218</v>
      </c>
      <c r="O60" s="8"/>
      <c r="P60" s="8"/>
      <c r="Q60" s="8"/>
    </row>
    <row r="61" spans="1:17" x14ac:dyDescent="0.2">
      <c r="A61" s="9" t="s">
        <v>219</v>
      </c>
      <c r="B61" s="9" t="s">
        <v>220</v>
      </c>
      <c r="C61" s="9" t="s">
        <v>221</v>
      </c>
      <c r="D61" s="15">
        <f>(J61+H61+L61)/3</f>
        <v>89.666666666666671</v>
      </c>
      <c r="E61" s="8"/>
      <c r="F61" s="9">
        <f>42+35</f>
        <v>77</v>
      </c>
      <c r="G61" s="9"/>
      <c r="H61" s="9">
        <f>57+51</f>
        <v>108</v>
      </c>
      <c r="I61" s="9"/>
      <c r="J61" s="9">
        <f>56+38</f>
        <v>94</v>
      </c>
      <c r="K61" s="9"/>
      <c r="L61" s="9">
        <f>39+28</f>
        <v>67</v>
      </c>
      <c r="M61" s="8"/>
      <c r="N61" s="8" t="s">
        <v>94</v>
      </c>
      <c r="O61" s="8"/>
      <c r="P61" s="8"/>
      <c r="Q61" s="8"/>
    </row>
    <row r="62" spans="1:17" ht="38.25" x14ac:dyDescent="0.2">
      <c r="A62" s="9" t="s">
        <v>222</v>
      </c>
      <c r="B62" s="9" t="s">
        <v>223</v>
      </c>
      <c r="C62" s="9" t="s">
        <v>224</v>
      </c>
      <c r="D62" s="15">
        <f>(K62+I62+G62)/3</f>
        <v>94</v>
      </c>
      <c r="E62" s="8"/>
      <c r="F62" s="9"/>
      <c r="G62" s="9">
        <f>52+35</f>
        <v>87</v>
      </c>
      <c r="H62" s="9"/>
      <c r="I62" s="9">
        <f>53+42</f>
        <v>95</v>
      </c>
      <c r="J62" s="9"/>
      <c r="K62" s="9">
        <f>61+39</f>
        <v>100</v>
      </c>
      <c r="L62" s="9"/>
      <c r="M62" s="8" t="s">
        <v>302</v>
      </c>
      <c r="N62" s="8" t="s">
        <v>149</v>
      </c>
      <c r="O62" s="8"/>
      <c r="P62" s="8"/>
      <c r="Q62" s="8"/>
    </row>
    <row r="63" spans="1:17" ht="25.5" x14ac:dyDescent="0.2">
      <c r="A63" s="9" t="s">
        <v>225</v>
      </c>
      <c r="B63" s="9" t="s">
        <v>226</v>
      </c>
      <c r="C63" s="9" t="s">
        <v>138</v>
      </c>
      <c r="D63" s="15">
        <f>(K63+I63+G63)/3</f>
        <v>37.666666666666664</v>
      </c>
      <c r="E63" s="8"/>
      <c r="F63" s="9"/>
      <c r="G63" s="9">
        <v>33</v>
      </c>
      <c r="H63" s="9"/>
      <c r="I63" s="9">
        <v>33</v>
      </c>
      <c r="J63" s="9"/>
      <c r="K63" s="9">
        <v>47</v>
      </c>
      <c r="L63" s="9"/>
      <c r="M63" s="8" t="s">
        <v>139</v>
      </c>
      <c r="N63" s="8" t="s">
        <v>61</v>
      </c>
      <c r="O63" s="8"/>
      <c r="P63" s="8"/>
      <c r="Q63" s="8"/>
    </row>
    <row r="64" spans="1:17" ht="25.5" x14ac:dyDescent="0.2">
      <c r="A64" s="9" t="s">
        <v>227</v>
      </c>
      <c r="B64" s="9" t="s">
        <v>228</v>
      </c>
      <c r="C64" s="9" t="s">
        <v>229</v>
      </c>
      <c r="D64" s="15">
        <f>(K64+I64)/2</f>
        <v>20.5</v>
      </c>
      <c r="E64" s="8"/>
      <c r="F64" s="9"/>
      <c r="G64" s="9"/>
      <c r="H64" s="9"/>
      <c r="I64" s="9">
        <f>12+8</f>
        <v>20</v>
      </c>
      <c r="J64" s="9"/>
      <c r="K64" s="9">
        <f>14+7</f>
        <v>21</v>
      </c>
      <c r="L64" s="9"/>
      <c r="M64" s="8"/>
      <c r="N64" s="8" t="s">
        <v>94</v>
      </c>
      <c r="O64" s="8"/>
      <c r="P64" s="8"/>
      <c r="Q64" s="8"/>
    </row>
    <row r="65" spans="1:27" x14ac:dyDescent="0.2">
      <c r="A65" s="8" t="s">
        <v>230</v>
      </c>
      <c r="B65" s="16" t="s">
        <v>231</v>
      </c>
      <c r="C65" s="16" t="s">
        <v>82</v>
      </c>
      <c r="D65" s="17">
        <f>(J65+H65+L65)/3</f>
        <v>48.666666666666664</v>
      </c>
      <c r="E65" s="8"/>
      <c r="F65" s="9">
        <v>56</v>
      </c>
      <c r="G65" s="9"/>
      <c r="H65" s="9">
        <v>50</v>
      </c>
      <c r="I65" s="9"/>
      <c r="J65" s="9">
        <v>64</v>
      </c>
      <c r="K65" s="9"/>
      <c r="L65" s="9">
        <v>32</v>
      </c>
      <c r="M65" s="8"/>
      <c r="N65" s="8" t="s">
        <v>232</v>
      </c>
      <c r="O65" s="8"/>
      <c r="P65" s="8"/>
      <c r="Q65" s="8"/>
    </row>
    <row r="66" spans="1:27" ht="25.5" x14ac:dyDescent="0.2">
      <c r="A66" s="9" t="s">
        <v>233</v>
      </c>
      <c r="B66" s="9" t="s">
        <v>234</v>
      </c>
      <c r="C66" s="9" t="s">
        <v>235</v>
      </c>
      <c r="D66" s="15">
        <f>(K66+I66+G66)/3</f>
        <v>67.666666666666671</v>
      </c>
      <c r="E66" s="8"/>
      <c r="F66" s="9"/>
      <c r="G66" s="9">
        <f>36+21</f>
        <v>57</v>
      </c>
      <c r="H66" s="9"/>
      <c r="I66" s="9">
        <f>41+20</f>
        <v>61</v>
      </c>
      <c r="J66" s="9"/>
      <c r="K66" s="9">
        <f>64+21</f>
        <v>85</v>
      </c>
      <c r="L66" s="9"/>
      <c r="M66" s="8"/>
      <c r="N66" s="8" t="s">
        <v>48</v>
      </c>
      <c r="O66" s="8"/>
      <c r="P66" s="8" t="s">
        <v>115</v>
      </c>
      <c r="Q66" s="8"/>
    </row>
    <row r="67" spans="1:27" x14ac:dyDescent="0.2">
      <c r="A67" s="9" t="s">
        <v>236</v>
      </c>
      <c r="B67" s="9" t="s">
        <v>237</v>
      </c>
      <c r="C67" s="9" t="s">
        <v>238</v>
      </c>
      <c r="D67" s="15">
        <f>(K67+I67+G67)/3</f>
        <v>117.66666666666667</v>
      </c>
      <c r="E67" s="8"/>
      <c r="F67" s="9"/>
      <c r="G67" s="9">
        <f>78+58</f>
        <v>136</v>
      </c>
      <c r="H67" s="9"/>
      <c r="I67" s="9">
        <f>51+65</f>
        <v>116</v>
      </c>
      <c r="J67" s="9"/>
      <c r="K67" s="9">
        <f>49+52</f>
        <v>101</v>
      </c>
      <c r="L67" s="9"/>
      <c r="M67" s="8"/>
      <c r="N67" s="8" t="s">
        <v>48</v>
      </c>
      <c r="O67" s="8"/>
      <c r="P67" s="8"/>
      <c r="Q67" s="8"/>
    </row>
    <row r="68" spans="1:27" ht="51" x14ac:dyDescent="0.2">
      <c r="A68" s="9" t="s">
        <v>239</v>
      </c>
      <c r="B68" s="9" t="s">
        <v>240</v>
      </c>
      <c r="C68" s="9" t="s">
        <v>241</v>
      </c>
      <c r="D68" s="15">
        <f>(K68+I68+G68)/3</f>
        <v>81</v>
      </c>
      <c r="E68" s="8"/>
      <c r="F68" s="9"/>
      <c r="G68" s="9">
        <f>37+29</f>
        <v>66</v>
      </c>
      <c r="H68" s="9"/>
      <c r="I68" s="9">
        <f>35+65</f>
        <v>100</v>
      </c>
      <c r="J68" s="9"/>
      <c r="K68" s="9">
        <f>38+39</f>
        <v>77</v>
      </c>
      <c r="L68" s="9"/>
      <c r="M68" s="8"/>
      <c r="N68" s="8" t="s">
        <v>94</v>
      </c>
      <c r="O68" s="8"/>
      <c r="P68" s="8" t="s">
        <v>242</v>
      </c>
      <c r="Q68" s="8"/>
    </row>
    <row r="69" spans="1:27" ht="51" x14ac:dyDescent="0.2">
      <c r="A69" s="8" t="s">
        <v>243</v>
      </c>
      <c r="B69" s="16" t="s">
        <v>244</v>
      </c>
      <c r="C69" s="16" t="s">
        <v>241</v>
      </c>
      <c r="D69" s="17">
        <f>(J69+H69+L69)/3</f>
        <v>30.666666666666668</v>
      </c>
      <c r="E69" s="8"/>
      <c r="F69" s="9">
        <v>29</v>
      </c>
      <c r="G69" s="9"/>
      <c r="H69" s="9">
        <v>28</v>
      </c>
      <c r="I69" s="9"/>
      <c r="J69" s="9">
        <v>32</v>
      </c>
      <c r="K69" s="9"/>
      <c r="L69" s="9">
        <v>32</v>
      </c>
      <c r="M69" s="8"/>
      <c r="N69" s="8" t="s">
        <v>94</v>
      </c>
      <c r="O69" s="8"/>
      <c r="P69" s="8" t="s">
        <v>242</v>
      </c>
      <c r="Q69" s="8"/>
    </row>
    <row r="70" spans="1:27" x14ac:dyDescent="0.2">
      <c r="A70" s="11"/>
      <c r="B70" s="11"/>
      <c r="C70" s="11"/>
      <c r="D70" s="11"/>
      <c r="E70" s="8"/>
      <c r="F70" s="11"/>
      <c r="G70" s="11"/>
      <c r="H70" s="11"/>
      <c r="I70" s="11"/>
      <c r="J70" s="11"/>
      <c r="K70" s="11"/>
      <c r="L70" s="11"/>
      <c r="M70" s="8"/>
      <c r="N70" s="8"/>
      <c r="O70" s="8"/>
      <c r="P70" s="8"/>
      <c r="Q70" s="8"/>
    </row>
    <row r="71" spans="1:27" x14ac:dyDescent="0.2">
      <c r="A71" s="6" t="s">
        <v>245</v>
      </c>
      <c r="B71" s="8"/>
      <c r="C71" s="8"/>
      <c r="D71" s="6"/>
      <c r="E71" s="8"/>
      <c r="F71" s="12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</row>
    <row r="72" spans="1:27" ht="26.25" x14ac:dyDescent="0.25">
      <c r="A72" s="9" t="s">
        <v>246</v>
      </c>
      <c r="B72" s="9" t="s">
        <v>247</v>
      </c>
      <c r="C72" s="9" t="s">
        <v>248</v>
      </c>
      <c r="D72" s="15">
        <f>(4+L72)/2</f>
        <v>4.5</v>
      </c>
      <c r="E72" s="9"/>
      <c r="F72" s="9"/>
      <c r="G72" s="9"/>
      <c r="H72" s="9">
        <f>1+3</f>
        <v>4</v>
      </c>
      <c r="I72" s="9"/>
      <c r="J72" s="14" t="s">
        <v>249</v>
      </c>
      <c r="K72" s="9"/>
      <c r="L72" s="9">
        <v>5</v>
      </c>
      <c r="M72" s="13"/>
      <c r="N72" s="8"/>
      <c r="O72" s="8"/>
      <c r="P72" s="8"/>
      <c r="Q72" s="8" t="s">
        <v>250</v>
      </c>
      <c r="R72" s="3"/>
      <c r="S72" s="3"/>
      <c r="T72" s="3"/>
      <c r="U72" s="4"/>
      <c r="V72" s="4"/>
      <c r="W72" s="4"/>
      <c r="X72" s="4"/>
      <c r="Y72" s="4"/>
      <c r="Z72" s="4"/>
      <c r="AA72" s="4"/>
    </row>
    <row r="73" spans="1:27" ht="26.25" x14ac:dyDescent="0.25">
      <c r="A73" s="9" t="s">
        <v>251</v>
      </c>
      <c r="B73" s="9" t="s">
        <v>252</v>
      </c>
      <c r="C73" s="9" t="s">
        <v>25</v>
      </c>
      <c r="D73" s="15">
        <f>(0+L73)/2</f>
        <v>2</v>
      </c>
      <c r="E73" s="9"/>
      <c r="F73" s="9"/>
      <c r="G73" s="9"/>
      <c r="H73" s="9">
        <v>0</v>
      </c>
      <c r="I73" s="9"/>
      <c r="J73" s="14" t="s">
        <v>249</v>
      </c>
      <c r="K73" s="9"/>
      <c r="L73" s="9">
        <v>4</v>
      </c>
      <c r="M73" s="8"/>
      <c r="N73" s="8"/>
      <c r="O73" s="8"/>
      <c r="P73" s="8"/>
      <c r="Q73" s="8" t="s">
        <v>250</v>
      </c>
      <c r="R73" s="3"/>
      <c r="S73" s="3"/>
      <c r="T73" s="3"/>
      <c r="U73" s="4"/>
      <c r="V73" s="4"/>
      <c r="W73" s="4"/>
      <c r="X73" s="4"/>
      <c r="Y73" s="4"/>
      <c r="Z73" s="4"/>
      <c r="AA73" s="4"/>
    </row>
    <row r="74" spans="1:27" ht="26.25" x14ac:dyDescent="0.25">
      <c r="A74" s="9" t="s">
        <v>253</v>
      </c>
      <c r="B74" s="9" t="s">
        <v>254</v>
      </c>
      <c r="C74" s="9" t="s">
        <v>255</v>
      </c>
      <c r="D74" s="15">
        <f>(H74+F74+L74)/3</f>
        <v>26.333333333333332</v>
      </c>
      <c r="E74" s="9"/>
      <c r="F74" s="9">
        <v>28</v>
      </c>
      <c r="G74" s="9"/>
      <c r="H74" s="9">
        <v>22</v>
      </c>
      <c r="I74" s="9"/>
      <c r="J74" s="14" t="s">
        <v>249</v>
      </c>
      <c r="K74" s="9"/>
      <c r="L74" s="9">
        <v>29</v>
      </c>
      <c r="M74" s="8" t="s">
        <v>256</v>
      </c>
      <c r="N74" s="8"/>
      <c r="O74" s="8"/>
      <c r="P74" s="8" t="s">
        <v>115</v>
      </c>
      <c r="Q74" s="8"/>
      <c r="R74" s="3"/>
      <c r="S74" s="3"/>
      <c r="T74" s="3"/>
      <c r="U74" s="4"/>
      <c r="V74" s="4"/>
      <c r="W74" s="4"/>
      <c r="X74" s="4"/>
      <c r="Y74" s="4"/>
      <c r="Z74" s="4"/>
      <c r="AA74" s="4"/>
    </row>
    <row r="75" spans="1:27" ht="26.25" x14ac:dyDescent="0.25">
      <c r="A75" s="9" t="s">
        <v>257</v>
      </c>
      <c r="B75" s="9" t="s">
        <v>258</v>
      </c>
      <c r="C75" s="9" t="s">
        <v>259</v>
      </c>
      <c r="D75" s="15">
        <f>K75</f>
        <v>49</v>
      </c>
      <c r="E75" s="9"/>
      <c r="F75" s="9"/>
      <c r="G75" s="9"/>
      <c r="H75" s="9"/>
      <c r="I75" s="9"/>
      <c r="J75" s="9"/>
      <c r="K75" s="9">
        <v>49</v>
      </c>
      <c r="L75" s="9"/>
      <c r="M75" s="8" t="s">
        <v>256</v>
      </c>
      <c r="N75" s="8"/>
      <c r="O75" s="8"/>
      <c r="P75" s="8" t="s">
        <v>132</v>
      </c>
      <c r="Q75" s="8"/>
      <c r="R75" s="3"/>
      <c r="S75" s="3"/>
      <c r="T75" s="3"/>
      <c r="U75" s="4"/>
      <c r="V75" s="4"/>
      <c r="W75" s="4"/>
      <c r="X75" s="4"/>
      <c r="Y75" s="4"/>
      <c r="Z75" s="4"/>
      <c r="AA75" s="4"/>
    </row>
    <row r="76" spans="1:27" ht="57.6" customHeight="1" x14ac:dyDescent="0.25">
      <c r="A76" s="9" t="s">
        <v>260</v>
      </c>
      <c r="B76" s="9" t="s">
        <v>261</v>
      </c>
      <c r="C76" s="9" t="s">
        <v>126</v>
      </c>
      <c r="D76" s="15">
        <f>L76</f>
        <v>68</v>
      </c>
      <c r="E76" s="14" t="s">
        <v>262</v>
      </c>
      <c r="F76" s="9"/>
      <c r="G76" s="9"/>
      <c r="H76" s="9"/>
      <c r="I76" s="9"/>
      <c r="J76" s="9"/>
      <c r="K76" s="9"/>
      <c r="L76" s="9">
        <v>68</v>
      </c>
      <c r="M76" s="8" t="s">
        <v>263</v>
      </c>
      <c r="N76" s="8"/>
      <c r="O76" s="8"/>
      <c r="P76" s="8"/>
      <c r="Q76" s="8" t="s">
        <v>264</v>
      </c>
      <c r="R76" s="3"/>
      <c r="S76" s="3"/>
      <c r="T76" s="3"/>
      <c r="U76" s="4"/>
      <c r="V76" s="4"/>
      <c r="W76" s="4"/>
      <c r="X76" s="4"/>
      <c r="Y76" s="4"/>
      <c r="Z76" s="4"/>
      <c r="AA76" s="4"/>
    </row>
    <row r="77" spans="1:27" ht="39" x14ac:dyDescent="0.25">
      <c r="A77" s="9" t="s">
        <v>265</v>
      </c>
      <c r="B77" s="9" t="s">
        <v>266</v>
      </c>
      <c r="C77" s="9" t="s">
        <v>114</v>
      </c>
      <c r="D77" s="15">
        <f>(K77+I77+G77)/3</f>
        <v>194.66666666666666</v>
      </c>
      <c r="E77" s="9"/>
      <c r="F77" s="9"/>
      <c r="G77" s="9">
        <v>159</v>
      </c>
      <c r="H77" s="9"/>
      <c r="I77" s="9">
        <v>189</v>
      </c>
      <c r="J77" s="9"/>
      <c r="K77" s="9">
        <v>236</v>
      </c>
      <c r="L77" s="9"/>
      <c r="M77" s="8" t="s">
        <v>267</v>
      </c>
      <c r="N77" s="8"/>
      <c r="O77" s="8"/>
      <c r="P77" s="8"/>
      <c r="Q77" s="8"/>
      <c r="R77" s="3"/>
      <c r="S77" s="3"/>
      <c r="T77" s="3"/>
      <c r="U77" s="4"/>
      <c r="V77" s="4"/>
      <c r="W77" s="4"/>
      <c r="X77" s="4"/>
      <c r="Y77" s="4"/>
      <c r="Z77" s="4"/>
      <c r="AA77" s="4"/>
    </row>
    <row r="78" spans="1:27" ht="26.25" x14ac:dyDescent="0.25">
      <c r="A78" s="9" t="s">
        <v>268</v>
      </c>
      <c r="B78" s="9" t="s">
        <v>269</v>
      </c>
      <c r="C78" s="9" t="s">
        <v>270</v>
      </c>
      <c r="D78" s="15">
        <f>(K78+I78+G78)/3</f>
        <v>123.33333333333333</v>
      </c>
      <c r="E78" s="9"/>
      <c r="F78" s="9"/>
      <c r="G78" s="9">
        <v>100</v>
      </c>
      <c r="H78" s="9"/>
      <c r="I78" s="9">
        <v>132</v>
      </c>
      <c r="J78" s="9"/>
      <c r="K78" s="9">
        <v>138</v>
      </c>
      <c r="L78" s="9"/>
      <c r="M78" s="8" t="s">
        <v>271</v>
      </c>
      <c r="N78" s="8"/>
      <c r="O78" s="8"/>
      <c r="P78" s="8"/>
      <c r="Q78" s="8"/>
      <c r="R78" s="3"/>
      <c r="S78" s="3"/>
      <c r="T78" s="3"/>
      <c r="U78" s="4"/>
      <c r="V78" s="4"/>
      <c r="W78" s="4"/>
      <c r="X78" s="4"/>
      <c r="Y78" s="4"/>
      <c r="Z78" s="4"/>
      <c r="AA78" s="4"/>
    </row>
    <row r="79" spans="1:27" ht="26.25" x14ac:dyDescent="0.25">
      <c r="A79" s="9" t="s">
        <v>272</v>
      </c>
      <c r="B79" s="9" t="s">
        <v>273</v>
      </c>
      <c r="C79" s="9" t="s">
        <v>238</v>
      </c>
      <c r="D79" s="15">
        <f>(J79+H79+L79)/3</f>
        <v>108</v>
      </c>
      <c r="E79" s="9"/>
      <c r="F79" s="9">
        <v>119</v>
      </c>
      <c r="G79" s="9"/>
      <c r="H79" s="9">
        <v>121</v>
      </c>
      <c r="I79" s="9"/>
      <c r="J79" s="9">
        <v>99</v>
      </c>
      <c r="K79" s="9"/>
      <c r="L79" s="9">
        <v>104</v>
      </c>
      <c r="M79" s="8" t="s">
        <v>303</v>
      </c>
      <c r="N79" s="8"/>
      <c r="O79" s="8"/>
      <c r="P79" s="8"/>
      <c r="Q79" s="8"/>
      <c r="R79" s="3"/>
      <c r="S79" s="3"/>
      <c r="T79" s="3"/>
      <c r="U79" s="3"/>
      <c r="V79" s="5"/>
      <c r="W79" s="3"/>
      <c r="X79" s="4"/>
      <c r="Y79" s="3"/>
      <c r="Z79" s="3"/>
      <c r="AA79" s="5"/>
    </row>
    <row r="80" spans="1:27" x14ac:dyDescent="0.2">
      <c r="A80" s="9" t="s">
        <v>274</v>
      </c>
      <c r="B80" s="9" t="s">
        <v>275</v>
      </c>
      <c r="C80" s="9" t="s">
        <v>331</v>
      </c>
      <c r="D80" s="15">
        <f>(K80+I80+G80)/3</f>
        <v>33</v>
      </c>
      <c r="E80" s="9"/>
      <c r="F80" s="9"/>
      <c r="G80" s="9">
        <v>37</v>
      </c>
      <c r="H80" s="9"/>
      <c r="I80" s="9">
        <v>30</v>
      </c>
      <c r="J80" s="9"/>
      <c r="K80" s="9">
        <v>32</v>
      </c>
      <c r="L80" s="9"/>
      <c r="M80" s="8"/>
      <c r="N80" s="8"/>
      <c r="O80" s="8"/>
      <c r="P80" s="8"/>
      <c r="Q80" s="8"/>
    </row>
    <row r="81" spans="1:17" x14ac:dyDescent="0.2">
      <c r="A81" s="9" t="s">
        <v>276</v>
      </c>
      <c r="B81" s="9" t="s">
        <v>277</v>
      </c>
      <c r="C81" s="9" t="s">
        <v>278</v>
      </c>
      <c r="D81" s="15">
        <f>(J81+H81+L81)/3</f>
        <v>14</v>
      </c>
      <c r="E81" s="9"/>
      <c r="F81" s="9">
        <v>16</v>
      </c>
      <c r="G81" s="9"/>
      <c r="H81" s="9">
        <v>17</v>
      </c>
      <c r="I81" s="9"/>
      <c r="J81" s="9">
        <v>22</v>
      </c>
      <c r="K81" s="9"/>
      <c r="L81" s="9">
        <v>3</v>
      </c>
      <c r="M81" s="8"/>
      <c r="N81" s="8"/>
      <c r="O81" s="8"/>
      <c r="P81" s="8"/>
      <c r="Q81" s="8"/>
    </row>
    <row r="83" spans="1:17" x14ac:dyDescent="0.2">
      <c r="B83" s="44" t="s">
        <v>304</v>
      </c>
    </row>
    <row r="84" spans="1:17" ht="15" x14ac:dyDescent="0.25">
      <c r="B84" s="45" t="s">
        <v>305</v>
      </c>
    </row>
    <row r="85" spans="1:17" ht="15" x14ac:dyDescent="0.25">
      <c r="B85" s="45" t="s">
        <v>306</v>
      </c>
    </row>
    <row r="86" spans="1:17" ht="15" x14ac:dyDescent="0.25">
      <c r="B86" s="45" t="s">
        <v>307</v>
      </c>
    </row>
    <row r="87" spans="1:17" ht="15" x14ac:dyDescent="0.25">
      <c r="B87" s="45" t="s">
        <v>308</v>
      </c>
    </row>
    <row r="88" spans="1:17" ht="15" x14ac:dyDescent="0.25">
      <c r="B88" s="45" t="s">
        <v>309</v>
      </c>
    </row>
    <row r="89" spans="1:17" ht="15" x14ac:dyDescent="0.25">
      <c r="B89" s="45" t="s">
        <v>310</v>
      </c>
    </row>
    <row r="90" spans="1:17" ht="15" x14ac:dyDescent="0.25">
      <c r="B90" s="45" t="s">
        <v>311</v>
      </c>
    </row>
    <row r="91" spans="1:17" ht="15" x14ac:dyDescent="0.25">
      <c r="B91" s="45" t="s">
        <v>312</v>
      </c>
    </row>
    <row r="93" spans="1:17" x14ac:dyDescent="0.2">
      <c r="B93" s="44" t="s">
        <v>313</v>
      </c>
    </row>
    <row r="94" spans="1:17" ht="15" x14ac:dyDescent="0.25">
      <c r="B94" s="45" t="s">
        <v>314</v>
      </c>
    </row>
    <row r="95" spans="1:17" ht="15" x14ac:dyDescent="0.25">
      <c r="B95" s="45" t="s">
        <v>315</v>
      </c>
    </row>
    <row r="96" spans="1:17" ht="15" x14ac:dyDescent="0.25">
      <c r="B96" s="45" t="s">
        <v>316</v>
      </c>
    </row>
    <row r="97" spans="2:2" ht="15" x14ac:dyDescent="0.25">
      <c r="B97" s="45" t="s">
        <v>317</v>
      </c>
    </row>
    <row r="98" spans="2:2" ht="15" x14ac:dyDescent="0.25">
      <c r="B98" s="45" t="s">
        <v>318</v>
      </c>
    </row>
    <row r="99" spans="2:2" ht="15" x14ac:dyDescent="0.25">
      <c r="B99" s="45" t="s">
        <v>319</v>
      </c>
    </row>
    <row r="100" spans="2:2" ht="15" x14ac:dyDescent="0.25">
      <c r="B100" s="45" t="s">
        <v>320</v>
      </c>
    </row>
    <row r="101" spans="2:2" ht="15" x14ac:dyDescent="0.25">
      <c r="B101"/>
    </row>
    <row r="102" spans="2:2" x14ac:dyDescent="0.2">
      <c r="B102" s="44" t="s">
        <v>321</v>
      </c>
    </row>
    <row r="103" spans="2:2" ht="15" x14ac:dyDescent="0.25">
      <c r="B103" s="45" t="s">
        <v>322</v>
      </c>
    </row>
    <row r="104" spans="2:2" ht="15" x14ac:dyDescent="0.25">
      <c r="B104" s="45" t="s">
        <v>323</v>
      </c>
    </row>
    <row r="105" spans="2:2" ht="15" x14ac:dyDescent="0.25">
      <c r="B105" s="45" t="s">
        <v>324</v>
      </c>
    </row>
    <row r="106" spans="2:2" ht="15" x14ac:dyDescent="0.25">
      <c r="B106" s="45" t="s">
        <v>325</v>
      </c>
    </row>
    <row r="107" spans="2:2" ht="15" x14ac:dyDescent="0.25">
      <c r="B107" s="45" t="s">
        <v>326</v>
      </c>
    </row>
    <row r="109" spans="2:2" x14ac:dyDescent="0.2">
      <c r="B109" s="44" t="s">
        <v>327</v>
      </c>
    </row>
    <row r="110" spans="2:2" ht="15" x14ac:dyDescent="0.25">
      <c r="B110" t="s">
        <v>328</v>
      </c>
    </row>
    <row r="111" spans="2:2" ht="15" x14ac:dyDescent="0.25">
      <c r="B111" t="s">
        <v>329</v>
      </c>
    </row>
    <row r="112" spans="2:2" ht="15" x14ac:dyDescent="0.25">
      <c r="B112" t="s">
        <v>330</v>
      </c>
    </row>
  </sheetData>
  <hyperlinks>
    <hyperlink ref="B85" r:id="rId1" xr:uid="{CFF3D355-BC5D-45AF-BD8A-3243AE94309F}"/>
    <hyperlink ref="B86" r:id="rId2" xr:uid="{9F629E12-BFBE-4897-A5B3-2E6C4BBC537E}"/>
    <hyperlink ref="B88" r:id="rId3" xr:uid="{BA08E5E7-8362-4E03-979B-E335692BCDFC}"/>
    <hyperlink ref="B84" r:id="rId4" xr:uid="{A898F934-5871-4C5F-88B1-2E853C1533A4}"/>
    <hyperlink ref="B89" r:id="rId5" xr:uid="{F2725A77-49B2-4DBB-8B74-4C8E58BEDC02}"/>
    <hyperlink ref="B87" r:id="rId6" xr:uid="{9557C427-7A01-465D-BE60-9B86FAB8616E}"/>
    <hyperlink ref="B91" r:id="rId7" xr:uid="{DBEF8172-8C01-4274-B338-EC34F80298C4}"/>
    <hyperlink ref="B90" r:id="rId8" xr:uid="{D1D00E47-9650-4780-8078-0582A81F4E88}"/>
    <hyperlink ref="B97" r:id="rId9" xr:uid="{31E3667C-7EB8-46FE-8921-2FF4CF5643DD}"/>
    <hyperlink ref="B98" r:id="rId10" display="IELSD=International Economic Law: Sustainable Development and International Environmental Law" xr:uid="{7D485B50-6939-48EB-A50E-1D919413CD85}"/>
    <hyperlink ref="B100" r:id="rId11" display="GPDE=Gender, Peace, Development, &amp; Environment (lagt ned)" xr:uid="{EEFCFA49-3F0B-42A9-BA6C-0BC96F764EC5}"/>
    <hyperlink ref="B99" r:id="rId12" display="SPI=Security, Peace &amp; International Law" xr:uid="{0F8DA90E-B05B-487E-B875-93BDD78ACCF3}"/>
    <hyperlink ref="B94" r:id="rId13" xr:uid="{C06273D8-F163-4C0C-80FE-C7765E7FA455}"/>
    <hyperlink ref="B95" r:id="rId14" xr:uid="{5349941E-DEC8-4811-B433-DE480FAD6E65}"/>
    <hyperlink ref="B96" r:id="rId15" xr:uid="{D49269AA-6CAE-4F4D-9796-3550E18FC1DB}"/>
    <hyperlink ref="B103" r:id="rId16" xr:uid="{BDA28228-01BC-4ADC-9CEF-AE4AFB9F1768}"/>
    <hyperlink ref="B104" r:id="rId17" xr:uid="{C8DB4080-0852-44A8-8A53-C8771DE4AB99}"/>
    <hyperlink ref="B105" r:id="rId18" xr:uid="{5AA23E4A-057D-4589-8E5F-448150C63A6D}"/>
    <hyperlink ref="B106" r:id="rId19" xr:uid="{3D58A84C-9180-476B-8F6E-654D5659369C}"/>
    <hyperlink ref="B107" r:id="rId20" xr:uid="{2E739F0B-C186-40B6-8A25-98F9E7429DF8}"/>
  </hyperlinks>
  <pageMargins left="0.70866141732283472" right="0.70866141732283472" top="0.74803149606299213" bottom="0.74803149606299213" header="0.31496062992125984" footer="0.31496062992125984"/>
  <pageSetup paperSize="9" orientation="landscape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96C28-4C70-4B2F-8CCC-1A2287235A4C}">
  <dimension ref="B1:J30"/>
  <sheetViews>
    <sheetView workbookViewId="0">
      <selection activeCell="L22" sqref="L22"/>
    </sheetView>
  </sheetViews>
  <sheetFormatPr baseColWidth="10" defaultColWidth="11.42578125" defaultRowHeight="15" x14ac:dyDescent="0.25"/>
  <cols>
    <col min="2" max="2" width="43.140625" customWidth="1"/>
    <col min="3" max="3" width="7.140625" customWidth="1"/>
    <col min="4" max="4" width="6.85546875" customWidth="1"/>
    <col min="5" max="5" width="7.7109375" customWidth="1"/>
    <col min="6" max="6" width="6.140625" customWidth="1"/>
    <col min="7" max="7" width="5.42578125" customWidth="1"/>
    <col min="8" max="8" width="7.7109375" customWidth="1"/>
    <col min="9" max="9" width="7.42578125" customWidth="1"/>
    <col min="10" max="10" width="9.85546875" customWidth="1"/>
  </cols>
  <sheetData>
    <row r="1" spans="2:9" ht="15.75" thickBot="1" x14ac:dyDescent="0.3"/>
    <row r="2" spans="2:9" x14ac:dyDescent="0.25">
      <c r="B2" s="18" t="s">
        <v>279</v>
      </c>
      <c r="C2" s="19" t="s">
        <v>7</v>
      </c>
      <c r="D2" s="19" t="s">
        <v>8</v>
      </c>
      <c r="E2" s="19" t="s">
        <v>9</v>
      </c>
      <c r="F2" s="19" t="s">
        <v>10</v>
      </c>
      <c r="G2" s="19" t="s">
        <v>11</v>
      </c>
      <c r="H2" s="20" t="s">
        <v>280</v>
      </c>
      <c r="I2" s="30" t="s">
        <v>281</v>
      </c>
    </row>
    <row r="3" spans="2:9" x14ac:dyDescent="0.25">
      <c r="B3" s="21" t="s">
        <v>282</v>
      </c>
      <c r="C3" s="22">
        <v>28</v>
      </c>
      <c r="D3" s="22">
        <v>37</v>
      </c>
      <c r="E3" s="22">
        <v>43</v>
      </c>
      <c r="F3" s="22">
        <v>47</v>
      </c>
      <c r="G3" s="22">
        <v>50</v>
      </c>
      <c r="H3" s="23">
        <v>46</v>
      </c>
    </row>
    <row r="4" spans="2:9" x14ac:dyDescent="0.25">
      <c r="B4" s="21" t="s">
        <v>283</v>
      </c>
      <c r="C4" s="22">
        <v>19</v>
      </c>
      <c r="D4" s="22">
        <v>27</v>
      </c>
      <c r="E4" s="22">
        <v>42</v>
      </c>
      <c r="F4" s="22">
        <v>34</v>
      </c>
      <c r="G4" s="22">
        <v>40</v>
      </c>
      <c r="H4" s="23">
        <v>31</v>
      </c>
    </row>
    <row r="5" spans="2:9" x14ac:dyDescent="0.25">
      <c r="B5" s="21" t="s">
        <v>284</v>
      </c>
      <c r="C5" s="22">
        <v>35</v>
      </c>
      <c r="D5" s="22">
        <v>41</v>
      </c>
      <c r="E5" s="22">
        <v>52</v>
      </c>
      <c r="F5" s="22">
        <v>48</v>
      </c>
      <c r="G5" s="22">
        <v>49</v>
      </c>
      <c r="H5" s="23">
        <v>53</v>
      </c>
    </row>
    <row r="6" spans="2:9" x14ac:dyDescent="0.25">
      <c r="B6" s="21" t="s">
        <v>285</v>
      </c>
      <c r="C6" s="22">
        <v>41</v>
      </c>
      <c r="D6" s="22">
        <v>55</v>
      </c>
      <c r="E6" s="22">
        <v>70</v>
      </c>
      <c r="F6" s="22">
        <v>67</v>
      </c>
      <c r="G6" s="22">
        <v>66</v>
      </c>
      <c r="H6" s="23">
        <v>61</v>
      </c>
    </row>
    <row r="7" spans="2:9" x14ac:dyDescent="0.25">
      <c r="B7" s="21" t="s">
        <v>286</v>
      </c>
      <c r="C7" s="22">
        <v>14</v>
      </c>
      <c r="D7" s="22">
        <v>15</v>
      </c>
      <c r="E7" s="22">
        <v>18</v>
      </c>
      <c r="F7" s="22">
        <v>15</v>
      </c>
      <c r="G7" s="22">
        <v>18</v>
      </c>
      <c r="H7" s="23">
        <v>14</v>
      </c>
    </row>
    <row r="8" spans="2:9" x14ac:dyDescent="0.25">
      <c r="B8" s="21" t="s">
        <v>287</v>
      </c>
      <c r="C8" s="22">
        <v>13</v>
      </c>
      <c r="D8" s="22">
        <v>19</v>
      </c>
      <c r="E8" s="22">
        <v>23</v>
      </c>
      <c r="F8" s="22">
        <v>20</v>
      </c>
      <c r="G8" s="22">
        <v>21</v>
      </c>
      <c r="H8" s="23">
        <v>21</v>
      </c>
    </row>
    <row r="9" spans="2:9" x14ac:dyDescent="0.25">
      <c r="B9" s="21" t="s">
        <v>288</v>
      </c>
      <c r="C9" s="22">
        <v>65</v>
      </c>
      <c r="D9" s="22">
        <v>90</v>
      </c>
      <c r="E9" s="22">
        <v>108</v>
      </c>
      <c r="F9" s="22">
        <v>122</v>
      </c>
      <c r="G9" s="22">
        <v>112</v>
      </c>
      <c r="H9" s="23">
        <v>106</v>
      </c>
    </row>
    <row r="10" spans="2:9" ht="15.75" thickBot="1" x14ac:dyDescent="0.3">
      <c r="B10" s="24" t="s">
        <v>289</v>
      </c>
      <c r="C10" s="25">
        <f>SUM(C3:C9)</f>
        <v>215</v>
      </c>
      <c r="D10" s="25">
        <f>SUM(D3:D9)</f>
        <v>284</v>
      </c>
      <c r="E10" s="25">
        <f>SUM(E3:E9)</f>
        <v>356</v>
      </c>
      <c r="F10" s="25">
        <f>SUM(F3:F9)</f>
        <v>353</v>
      </c>
      <c r="G10" s="25">
        <f>SUM(G3:G9)</f>
        <v>356</v>
      </c>
      <c r="H10" s="26">
        <f>H3+H4+H5+H6+H7+H8+H9</f>
        <v>332</v>
      </c>
    </row>
    <row r="11" spans="2:9" ht="15.75" thickBot="1" x14ac:dyDescent="0.3"/>
    <row r="12" spans="2:9" x14ac:dyDescent="0.25">
      <c r="B12" s="27"/>
      <c r="C12" s="19" t="s">
        <v>7</v>
      </c>
      <c r="D12" s="19" t="s">
        <v>8</v>
      </c>
      <c r="E12" s="19" t="s">
        <v>9</v>
      </c>
      <c r="F12" s="19" t="s">
        <v>10</v>
      </c>
      <c r="G12" s="19" t="s">
        <v>11</v>
      </c>
      <c r="H12" s="20" t="s">
        <v>280</v>
      </c>
    </row>
    <row r="13" spans="2:9" x14ac:dyDescent="0.25">
      <c r="B13" s="21" t="s">
        <v>290</v>
      </c>
      <c r="C13" s="22">
        <v>2080</v>
      </c>
      <c r="D13" s="22">
        <v>2125</v>
      </c>
      <c r="E13" s="22">
        <v>2588</v>
      </c>
      <c r="F13" s="22">
        <v>2092</v>
      </c>
      <c r="G13" s="22">
        <v>2122</v>
      </c>
      <c r="H13" s="23">
        <v>2122</v>
      </c>
    </row>
    <row r="14" spans="2:9" ht="15.75" thickBot="1" x14ac:dyDescent="0.3">
      <c r="B14" s="24" t="s">
        <v>291</v>
      </c>
      <c r="C14" s="28">
        <f t="shared" ref="C14:H14" si="0">(C10*100)/C13</f>
        <v>10.336538461538462</v>
      </c>
      <c r="D14" s="28">
        <f t="shared" si="0"/>
        <v>13.364705882352942</v>
      </c>
      <c r="E14" s="28">
        <f t="shared" si="0"/>
        <v>13.755795981452859</v>
      </c>
      <c r="F14" s="28">
        <f t="shared" si="0"/>
        <v>16.873804971319313</v>
      </c>
      <c r="G14" s="28">
        <f t="shared" si="0"/>
        <v>16.776625824693685</v>
      </c>
      <c r="H14" s="29">
        <f t="shared" si="0"/>
        <v>15.645617342130066</v>
      </c>
    </row>
    <row r="17" spans="2:10" x14ac:dyDescent="0.25">
      <c r="B17" s="31" t="s">
        <v>292</v>
      </c>
      <c r="C17" s="32" t="s">
        <v>4</v>
      </c>
      <c r="D17" s="32" t="s">
        <v>5</v>
      </c>
      <c r="E17" s="32" t="s">
        <v>6</v>
      </c>
      <c r="F17" s="32" t="s">
        <v>7</v>
      </c>
      <c r="G17" s="32" t="s">
        <v>8</v>
      </c>
      <c r="H17" s="32" t="s">
        <v>9</v>
      </c>
      <c r="I17" s="32" t="s">
        <v>10</v>
      </c>
      <c r="J17" s="33" t="s">
        <v>280</v>
      </c>
    </row>
    <row r="18" spans="2:10" x14ac:dyDescent="0.25">
      <c r="B18" s="34" t="s">
        <v>293</v>
      </c>
      <c r="C18" s="35">
        <v>8</v>
      </c>
      <c r="D18" s="35">
        <v>8</v>
      </c>
      <c r="E18" s="35">
        <v>9</v>
      </c>
      <c r="F18" s="35">
        <v>4</v>
      </c>
      <c r="G18" s="35">
        <v>7</v>
      </c>
      <c r="H18" s="35">
        <v>4</v>
      </c>
      <c r="I18" s="35">
        <v>2</v>
      </c>
      <c r="J18" s="23"/>
    </row>
    <row r="19" spans="2:10" x14ac:dyDescent="0.25">
      <c r="B19" s="34" t="s">
        <v>282</v>
      </c>
      <c r="C19" s="35"/>
      <c r="D19" s="35"/>
      <c r="E19" s="35">
        <v>1</v>
      </c>
      <c r="F19" s="35">
        <v>4</v>
      </c>
      <c r="G19" s="35">
        <v>6</v>
      </c>
      <c r="H19" s="35">
        <v>8</v>
      </c>
      <c r="I19" s="35">
        <v>6</v>
      </c>
      <c r="J19" s="36">
        <v>9</v>
      </c>
    </row>
    <row r="20" spans="2:10" x14ac:dyDescent="0.25">
      <c r="B20" s="34" t="s">
        <v>283</v>
      </c>
      <c r="C20" s="35"/>
      <c r="D20" s="35"/>
      <c r="E20" s="35"/>
      <c r="F20" s="35"/>
      <c r="G20" s="35"/>
      <c r="H20" s="35">
        <v>2</v>
      </c>
      <c r="I20" s="35"/>
      <c r="J20" s="23">
        <v>1</v>
      </c>
    </row>
    <row r="21" spans="2:10" x14ac:dyDescent="0.25">
      <c r="B21" s="34" t="s">
        <v>284</v>
      </c>
      <c r="C21" s="35"/>
      <c r="D21" s="35"/>
      <c r="E21" s="35"/>
      <c r="F21" s="35">
        <v>2</v>
      </c>
      <c r="G21" s="35">
        <v>1</v>
      </c>
      <c r="H21" s="35">
        <v>4</v>
      </c>
      <c r="I21" s="35">
        <v>1</v>
      </c>
      <c r="J21" s="36">
        <v>2</v>
      </c>
    </row>
    <row r="22" spans="2:10" x14ac:dyDescent="0.25">
      <c r="B22" s="34" t="s">
        <v>285</v>
      </c>
      <c r="C22" s="35"/>
      <c r="D22" s="35"/>
      <c r="E22" s="35"/>
      <c r="F22" s="35"/>
      <c r="G22" s="35"/>
      <c r="H22" s="35">
        <v>6</v>
      </c>
      <c r="I22" s="35">
        <v>6</v>
      </c>
      <c r="J22" s="23">
        <v>11</v>
      </c>
    </row>
    <row r="23" spans="2:10" x14ac:dyDescent="0.25">
      <c r="B23" s="34" t="s">
        <v>286</v>
      </c>
      <c r="C23" s="37"/>
      <c r="D23" s="37"/>
      <c r="E23" s="35">
        <v>2</v>
      </c>
      <c r="F23" s="35"/>
      <c r="G23" s="35"/>
      <c r="H23" s="35">
        <v>3</v>
      </c>
      <c r="I23" s="35">
        <v>4</v>
      </c>
      <c r="J23" s="36">
        <v>11</v>
      </c>
    </row>
    <row r="24" spans="2:10" x14ac:dyDescent="0.25">
      <c r="B24" s="34" t="s">
        <v>287</v>
      </c>
      <c r="C24" s="35"/>
      <c r="D24" s="35"/>
      <c r="E24" s="35"/>
      <c r="F24" s="35"/>
      <c r="G24" s="35">
        <v>1</v>
      </c>
      <c r="H24" s="35">
        <v>7</v>
      </c>
      <c r="I24" s="35">
        <v>2</v>
      </c>
      <c r="J24" s="36">
        <v>2</v>
      </c>
    </row>
    <row r="25" spans="2:10" x14ac:dyDescent="0.25">
      <c r="B25" s="34" t="s">
        <v>288</v>
      </c>
      <c r="C25" s="35"/>
      <c r="D25" s="35"/>
      <c r="E25" s="35">
        <v>1</v>
      </c>
      <c r="F25" s="35">
        <v>2</v>
      </c>
      <c r="G25" s="35">
        <v>4</v>
      </c>
      <c r="H25" s="35">
        <v>5</v>
      </c>
      <c r="I25" s="35">
        <v>12</v>
      </c>
      <c r="J25" s="36">
        <v>18</v>
      </c>
    </row>
    <row r="26" spans="2:10" x14ac:dyDescent="0.25">
      <c r="B26" s="34" t="s">
        <v>289</v>
      </c>
      <c r="C26" s="38">
        <v>8</v>
      </c>
      <c r="D26" s="38">
        <v>8</v>
      </c>
      <c r="E26" s="38">
        <v>15</v>
      </c>
      <c r="F26" s="38">
        <v>12</v>
      </c>
      <c r="G26" s="38">
        <v>19</v>
      </c>
      <c r="H26" s="38">
        <v>39</v>
      </c>
      <c r="I26" s="38">
        <v>33</v>
      </c>
      <c r="J26" s="39">
        <f>SUM(J19:J25)</f>
        <v>54</v>
      </c>
    </row>
    <row r="27" spans="2:10" x14ac:dyDescent="0.25">
      <c r="B27" s="40"/>
      <c r="C27" s="35"/>
      <c r="D27" s="35"/>
      <c r="E27" s="35"/>
      <c r="F27" s="35"/>
      <c r="G27" s="35"/>
      <c r="H27" s="35"/>
      <c r="I27" s="35"/>
      <c r="J27" s="23"/>
    </row>
    <row r="28" spans="2:10" x14ac:dyDescent="0.25">
      <c r="B28" s="40"/>
      <c r="C28" s="35"/>
      <c r="D28" s="35"/>
      <c r="E28" s="35"/>
      <c r="F28" s="35"/>
      <c r="G28" s="35"/>
      <c r="H28" s="35"/>
      <c r="I28" s="35"/>
      <c r="J28" s="23"/>
    </row>
    <row r="29" spans="2:10" x14ac:dyDescent="0.25">
      <c r="B29" s="40" t="s">
        <v>294</v>
      </c>
      <c r="C29" s="35">
        <v>202</v>
      </c>
      <c r="D29" s="35">
        <v>170</v>
      </c>
      <c r="E29" s="35">
        <v>226</v>
      </c>
      <c r="F29" s="35">
        <v>157</v>
      </c>
      <c r="G29" s="35">
        <v>147</v>
      </c>
      <c r="H29" s="35">
        <v>179</v>
      </c>
      <c r="I29" s="35">
        <v>161</v>
      </c>
      <c r="J29" s="23">
        <v>160</v>
      </c>
    </row>
    <row r="30" spans="2:10" x14ac:dyDescent="0.25">
      <c r="B30" s="41" t="s">
        <v>295</v>
      </c>
      <c r="C30" s="42">
        <v>4</v>
      </c>
      <c r="D30" s="42">
        <v>4.7</v>
      </c>
      <c r="E30" s="42">
        <v>6.6</v>
      </c>
      <c r="F30" s="42">
        <v>7.6</v>
      </c>
      <c r="G30" s="42">
        <v>12.9</v>
      </c>
      <c r="H30" s="42">
        <v>21.8</v>
      </c>
      <c r="I30" s="42">
        <v>20.5</v>
      </c>
      <c r="J30" s="43">
        <f>J26/J29</f>
        <v>0.33750000000000002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2C6D564A13E2E48B557FCF1C61227A7" ma:contentTypeVersion="6" ma:contentTypeDescription="Opprett et nytt dokument." ma:contentTypeScope="" ma:versionID="b18df00cc5c4cf865a74a1cd320029e6">
  <xsd:schema xmlns:xsd="http://www.w3.org/2001/XMLSchema" xmlns:xs="http://www.w3.org/2001/XMLSchema" xmlns:p="http://schemas.microsoft.com/office/2006/metadata/properties" xmlns:ns2="ce9f5187-565f-4f26-b0f8-655e8f5ad056" xmlns:ns3="d776c21b-d63a-4bdf-8b86-fc78c83f599e" targetNamespace="http://schemas.microsoft.com/office/2006/metadata/properties" ma:root="true" ma:fieldsID="039357a32d57ebcc07a06aecbe6fadfa" ns2:_="" ns3:_="">
    <xsd:import namespace="ce9f5187-565f-4f26-b0f8-655e8f5ad056"/>
    <xsd:import namespace="d776c21b-d63a-4bdf-8b86-fc78c83f599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9f5187-565f-4f26-b0f8-655e8f5ad05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76c21b-d63a-4bdf-8b86-fc78c83f599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362A32C-0EF9-446A-8412-82C9539C72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e9f5187-565f-4f26-b0f8-655e8f5ad056"/>
    <ds:schemaRef ds:uri="d776c21b-d63a-4bdf-8b86-fc78c83f59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FDEF1FE-2AFB-47B9-92BC-23DAE2684C0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FBFB63B-C2C9-4AC9-821E-0ED41054F298}">
  <ds:schemaRefs>
    <ds:schemaRef ds:uri="http://schemas.microsoft.com/office/2006/metadata/properties"/>
    <ds:schemaRef ds:uri="http://schemas.microsoft.com/office/infopath/2007/PartnerControls"/>
  </ds:schemaRefs>
</ds:datastoreItem>
</file>

<file path=docMetadata/LabelInfo.xml><?xml version="1.0" encoding="utf-8"?>
<clbl:labelList xmlns:clbl="http://schemas.microsoft.com/office/2020/mipLabelMetadata">
  <clbl:label id="{463b6811-b0a4-4b2a-b932-72c4c970c5d2}" enabled="0" method="" siteId="{463b6811-b0a4-4b2a-b932-72c4c970c5d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MiR</vt:lpstr>
      <vt:lpstr>Profil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2026-03-27T09:13:42Z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0x01010022C6D564A13E2E48B557FCF1C61227A7</vt:lpwstr>
  </property>
</Properties>
</file>